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jects\TechnoDocSite\site\pdf\"/>
    </mc:Choice>
  </mc:AlternateContent>
  <bookViews>
    <workbookView xWindow="0" yWindow="0" windowWidth="28800" windowHeight="12435"/>
  </bookViews>
  <sheets>
    <sheet name="Ведомость" sheetId="1" r:id="rId1"/>
    <sheet name="Макет 017" sheetId="7" r:id="rId2"/>
    <sheet name="Сводка" sheetId="3" r:id="rId3"/>
    <sheet name="М12320" sheetId="6" r:id="rId4"/>
    <sheet name="М30018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8" i="5" l="1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D1" i="6"/>
  <c r="C1" i="6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22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21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20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19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18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17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16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14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13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12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11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10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9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8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7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6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5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A4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A3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D2" i="7"/>
  <c r="C2" i="7"/>
  <c r="B2" i="7"/>
  <c r="A2" i="7"/>
  <c r="AK1" i="7"/>
  <c r="AD19" i="7" s="1"/>
  <c r="AC2" i="1" l="1"/>
  <c r="AD47" i="1"/>
  <c r="D1" i="7"/>
  <c r="I1" i="7"/>
  <c r="N1" i="7"/>
  <c r="T1" i="7"/>
  <c r="AB1" i="7"/>
  <c r="AC3" i="7"/>
  <c r="AE5" i="7"/>
  <c r="AD8" i="7"/>
  <c r="AC11" i="7"/>
  <c r="AE13" i="7"/>
  <c r="AD16" i="7"/>
  <c r="AD2" i="1"/>
  <c r="AB14" i="5" s="1"/>
  <c r="AF47" i="1"/>
  <c r="E1" i="7"/>
  <c r="J1" i="7"/>
  <c r="P1" i="7"/>
  <c r="U1" i="7"/>
  <c r="AC1" i="7"/>
  <c r="AD3" i="7"/>
  <c r="AC6" i="7"/>
  <c r="AF2" i="1"/>
  <c r="AD18" i="5" s="1"/>
  <c r="A1" i="7"/>
  <c r="F1" i="7"/>
  <c r="L1" i="7"/>
  <c r="Q1" i="7"/>
  <c r="X1" i="7"/>
  <c r="AC47" i="1"/>
  <c r="B1" i="7"/>
  <c r="H1" i="7"/>
  <c r="M1" i="7"/>
  <c r="R1" i="7"/>
  <c r="Y1" i="7"/>
  <c r="AC2" i="7"/>
  <c r="AE4" i="7"/>
  <c r="AD7" i="7"/>
  <c r="AC10" i="7"/>
  <c r="AE12" i="7"/>
  <c r="AD15" i="7"/>
  <c r="AC18" i="7"/>
  <c r="AE20" i="7"/>
  <c r="AC19" i="7"/>
  <c r="AE8" i="7"/>
  <c r="AD11" i="7"/>
  <c r="AC14" i="7"/>
  <c r="AE16" i="7"/>
  <c r="AE19" i="5"/>
  <c r="AA19" i="5"/>
  <c r="W19" i="5"/>
  <c r="S19" i="5"/>
  <c r="O19" i="5"/>
  <c r="K19" i="5"/>
  <c r="G19" i="5"/>
  <c r="C19" i="5"/>
  <c r="AC17" i="5"/>
  <c r="Y17" i="5"/>
  <c r="U17" i="5"/>
  <c r="Q17" i="5"/>
  <c r="M17" i="5"/>
  <c r="I17" i="5"/>
  <c r="E17" i="5"/>
  <c r="A17" i="5"/>
  <c r="AE15" i="5"/>
  <c r="AA15" i="5"/>
  <c r="W15" i="5"/>
  <c r="S15" i="5"/>
  <c r="O15" i="5"/>
  <c r="K15" i="5"/>
  <c r="G15" i="5"/>
  <c r="C15" i="5"/>
  <c r="AC13" i="5"/>
  <c r="Y13" i="5"/>
  <c r="U13" i="5"/>
  <c r="Q13" i="5"/>
  <c r="M13" i="5"/>
  <c r="I13" i="5"/>
  <c r="E13" i="5"/>
  <c r="A13" i="5"/>
  <c r="AB12" i="5"/>
  <c r="AE11" i="5"/>
  <c r="AA11" i="5"/>
  <c r="W11" i="5"/>
  <c r="S11" i="5"/>
  <c r="O11" i="5"/>
  <c r="K11" i="5"/>
  <c r="G11" i="5"/>
  <c r="C11" i="5"/>
  <c r="AD10" i="5"/>
  <c r="AC9" i="5"/>
  <c r="Y9" i="5"/>
  <c r="U9" i="5"/>
  <c r="Q9" i="5"/>
  <c r="M9" i="5"/>
  <c r="I9" i="5"/>
  <c r="E9" i="5"/>
  <c r="A9" i="5"/>
  <c r="AD19" i="5"/>
  <c r="Z19" i="5"/>
  <c r="V19" i="5"/>
  <c r="R19" i="5"/>
  <c r="N19" i="5"/>
  <c r="J19" i="5"/>
  <c r="F19" i="5"/>
  <c r="B19" i="5"/>
  <c r="AC18" i="5"/>
  <c r="AB17" i="5"/>
  <c r="X17" i="5"/>
  <c r="T17" i="5"/>
  <c r="P17" i="5"/>
  <c r="L17" i="5"/>
  <c r="H17" i="5"/>
  <c r="D17" i="5"/>
  <c r="AE16" i="5"/>
  <c r="AC19" i="5"/>
  <c r="Y19" i="5"/>
  <c r="U19" i="5"/>
  <c r="Q19" i="5"/>
  <c r="M19" i="5"/>
  <c r="I19" i="5"/>
  <c r="E19" i="5"/>
  <c r="A19" i="5"/>
  <c r="AB18" i="5"/>
  <c r="AE17" i="5"/>
  <c r="AA17" i="5"/>
  <c r="W17" i="5"/>
  <c r="S17" i="5"/>
  <c r="O17" i="5"/>
  <c r="K17" i="5"/>
  <c r="G17" i="5"/>
  <c r="C17" i="5"/>
  <c r="AD16" i="5"/>
  <c r="AC15" i="5"/>
  <c r="Y15" i="5"/>
  <c r="U15" i="5"/>
  <c r="Q15" i="5"/>
  <c r="M15" i="5"/>
  <c r="I15" i="5"/>
  <c r="E15" i="5"/>
  <c r="A15" i="5"/>
  <c r="AE13" i="5"/>
  <c r="AA13" i="5"/>
  <c r="W13" i="5"/>
  <c r="S13" i="5"/>
  <c r="O13" i="5"/>
  <c r="K13" i="5"/>
  <c r="G13" i="5"/>
  <c r="C13" i="5"/>
  <c r="AC11" i="5"/>
  <c r="Y11" i="5"/>
  <c r="U11" i="5"/>
  <c r="Q11" i="5"/>
  <c r="M11" i="5"/>
  <c r="I11" i="5"/>
  <c r="E11" i="5"/>
  <c r="A11" i="5"/>
  <c r="AB10" i="5"/>
  <c r="AE9" i="5"/>
  <c r="AA9" i="5"/>
  <c r="W9" i="5"/>
  <c r="S9" i="5"/>
  <c r="O9" i="5"/>
  <c r="K9" i="5"/>
  <c r="G9" i="5"/>
  <c r="C9" i="5"/>
  <c r="AD8" i="5"/>
  <c r="AC7" i="5"/>
  <c r="Y7" i="5"/>
  <c r="U7" i="5"/>
  <c r="Q7" i="5"/>
  <c r="M7" i="5"/>
  <c r="I7" i="5"/>
  <c r="E7" i="5"/>
  <c r="A7" i="5"/>
  <c r="AB6" i="5"/>
  <c r="X6" i="5"/>
  <c r="T6" i="5"/>
  <c r="P6" i="5"/>
  <c r="L6" i="5"/>
  <c r="H6" i="5"/>
  <c r="D6" i="5"/>
  <c r="AE5" i="5"/>
  <c r="AA5" i="5"/>
  <c r="W5" i="5"/>
  <c r="S5" i="5"/>
  <c r="O5" i="5"/>
  <c r="K5" i="5"/>
  <c r="G5" i="5"/>
  <c r="C5" i="5"/>
  <c r="AD4" i="5"/>
  <c r="Z4" i="5"/>
  <c r="V4" i="5"/>
  <c r="R4" i="5"/>
  <c r="N4" i="5"/>
  <c r="J4" i="5"/>
  <c r="F4" i="5"/>
  <c r="B4" i="5"/>
  <c r="AB19" i="5"/>
  <c r="X19" i="5"/>
  <c r="T19" i="5"/>
  <c r="P19" i="5"/>
  <c r="L19" i="5"/>
  <c r="H19" i="5"/>
  <c r="D19" i="5"/>
  <c r="AE18" i="5"/>
  <c r="AD17" i="5"/>
  <c r="Z17" i="5"/>
  <c r="V17" i="5"/>
  <c r="R17" i="5"/>
  <c r="N17" i="5"/>
  <c r="J17" i="5"/>
  <c r="F17" i="5"/>
  <c r="B17" i="5"/>
  <c r="AC16" i="5"/>
  <c r="Z15" i="5"/>
  <c r="R15" i="5"/>
  <c r="J15" i="5"/>
  <c r="B15" i="5"/>
  <c r="Z13" i="5"/>
  <c r="R13" i="5"/>
  <c r="J13" i="5"/>
  <c r="B13" i="5"/>
  <c r="Z11" i="5"/>
  <c r="R11" i="5"/>
  <c r="J11" i="5"/>
  <c r="B11" i="5"/>
  <c r="Z9" i="5"/>
  <c r="R9" i="5"/>
  <c r="J9" i="5"/>
  <c r="B9" i="5"/>
  <c r="AD7" i="5"/>
  <c r="X7" i="5"/>
  <c r="S7" i="5"/>
  <c r="N7" i="5"/>
  <c r="H7" i="5"/>
  <c r="C7" i="5"/>
  <c r="AC6" i="5"/>
  <c r="W6" i="5"/>
  <c r="R6" i="5"/>
  <c r="M6" i="5"/>
  <c r="G6" i="5"/>
  <c r="B6" i="5"/>
  <c r="AB5" i="5"/>
  <c r="V5" i="5"/>
  <c r="Q5" i="5"/>
  <c r="L5" i="5"/>
  <c r="F5" i="5"/>
  <c r="A5" i="5"/>
  <c r="AA4" i="5"/>
  <c r="U4" i="5"/>
  <c r="P4" i="5"/>
  <c r="K4" i="5"/>
  <c r="E4" i="5"/>
  <c r="AE3" i="5"/>
  <c r="AA3" i="5"/>
  <c r="W3" i="5"/>
  <c r="S3" i="5"/>
  <c r="O3" i="5"/>
  <c r="K3" i="5"/>
  <c r="G3" i="5"/>
  <c r="C3" i="5"/>
  <c r="AD2" i="5"/>
  <c r="Z2" i="5"/>
  <c r="V2" i="5"/>
  <c r="R2" i="5"/>
  <c r="N2" i="5"/>
  <c r="J2" i="5"/>
  <c r="F2" i="5"/>
  <c r="B2" i="5"/>
  <c r="AC1" i="5"/>
  <c r="Y1" i="5"/>
  <c r="U1" i="5"/>
  <c r="Q1" i="5"/>
  <c r="M1" i="5"/>
  <c r="I1" i="5"/>
  <c r="E1" i="5"/>
  <c r="A1" i="5"/>
  <c r="A31" i="6"/>
  <c r="A30" i="6"/>
  <c r="A29" i="6"/>
  <c r="A28" i="6"/>
  <c r="A26" i="6"/>
  <c r="A24" i="6"/>
  <c r="A22" i="6"/>
  <c r="A20" i="6"/>
  <c r="A18" i="6"/>
  <c r="A16" i="6"/>
  <c r="A14" i="6"/>
  <c r="A12" i="6"/>
  <c r="A10" i="6"/>
  <c r="A8" i="6"/>
  <c r="A6" i="6"/>
  <c r="A4" i="6"/>
  <c r="A2" i="6"/>
  <c r="AE16" i="3"/>
  <c r="AD15" i="3"/>
  <c r="AD14" i="3"/>
  <c r="AC13" i="3"/>
  <c r="AC12" i="3"/>
  <c r="X15" i="5"/>
  <c r="P15" i="5"/>
  <c r="H15" i="5"/>
  <c r="AE14" i="5"/>
  <c r="X13" i="5"/>
  <c r="P13" i="5"/>
  <c r="H13" i="5"/>
  <c r="AE12" i="5"/>
  <c r="X11" i="5"/>
  <c r="P11" i="5"/>
  <c r="H11" i="5"/>
  <c r="AE10" i="5"/>
  <c r="AD15" i="5"/>
  <c r="V15" i="5"/>
  <c r="N15" i="5"/>
  <c r="F15" i="5"/>
  <c r="AC14" i="5"/>
  <c r="AD13" i="5"/>
  <c r="V13" i="5"/>
  <c r="N13" i="5"/>
  <c r="F13" i="5"/>
  <c r="AC12" i="5"/>
  <c r="AD11" i="5"/>
  <c r="V11" i="5"/>
  <c r="N11" i="5"/>
  <c r="F11" i="5"/>
  <c r="AC10" i="5"/>
  <c r="AD9" i="5"/>
  <c r="V9" i="5"/>
  <c r="N9" i="5"/>
  <c r="F9" i="5"/>
  <c r="AC8" i="5"/>
  <c r="AB15" i="5"/>
  <c r="T15" i="5"/>
  <c r="L15" i="5"/>
  <c r="D15" i="5"/>
  <c r="AB13" i="5"/>
  <c r="T13" i="5"/>
  <c r="L13" i="5"/>
  <c r="D13" i="5"/>
  <c r="AB11" i="5"/>
  <c r="T11" i="5"/>
  <c r="L11" i="5"/>
  <c r="D11" i="5"/>
  <c r="AB9" i="5"/>
  <c r="T9" i="5"/>
  <c r="L9" i="5"/>
  <c r="D9" i="5"/>
  <c r="AB8" i="5"/>
  <c r="AE7" i="5"/>
  <c r="Z7" i="5"/>
  <c r="T7" i="5"/>
  <c r="O7" i="5"/>
  <c r="J7" i="5"/>
  <c r="D7" i="5"/>
  <c r="AD6" i="5"/>
  <c r="Y6" i="5"/>
  <c r="S6" i="5"/>
  <c r="N6" i="5"/>
  <c r="I6" i="5"/>
  <c r="C6" i="5"/>
  <c r="AC5" i="5"/>
  <c r="X5" i="5"/>
  <c r="R5" i="5"/>
  <c r="M5" i="5"/>
  <c r="H5" i="5"/>
  <c r="B5" i="5"/>
  <c r="AB4" i="5"/>
  <c r="W4" i="5"/>
  <c r="Q4" i="5"/>
  <c r="L4" i="5"/>
  <c r="G4" i="5"/>
  <c r="A4" i="5"/>
  <c r="AB3" i="5"/>
  <c r="X3" i="5"/>
  <c r="T3" i="5"/>
  <c r="P3" i="5"/>
  <c r="L3" i="5"/>
  <c r="H3" i="5"/>
  <c r="D3" i="5"/>
  <c r="AE2" i="5"/>
  <c r="AA2" i="5"/>
  <c r="W2" i="5"/>
  <c r="S2" i="5"/>
  <c r="O2" i="5"/>
  <c r="K2" i="5"/>
  <c r="G2" i="5"/>
  <c r="C2" i="5"/>
  <c r="AD1" i="5"/>
  <c r="Z1" i="5"/>
  <c r="V1" i="5"/>
  <c r="R1" i="5"/>
  <c r="N1" i="5"/>
  <c r="J1" i="5"/>
  <c r="F1" i="5"/>
  <c r="B1" i="5"/>
  <c r="B31" i="6"/>
  <c r="B30" i="6"/>
  <c r="B29" i="6"/>
  <c r="B28" i="6"/>
  <c r="P9" i="5"/>
  <c r="W7" i="5"/>
  <c r="L7" i="5"/>
  <c r="B7" i="5"/>
  <c r="V6" i="5"/>
  <c r="K6" i="5"/>
  <c r="A6" i="5"/>
  <c r="U5" i="5"/>
  <c r="J5" i="5"/>
  <c r="AE4" i="5"/>
  <c r="T4" i="5"/>
  <c r="I4" i="5"/>
  <c r="AD3" i="5"/>
  <c r="V3" i="5"/>
  <c r="N3" i="5"/>
  <c r="F3" i="5"/>
  <c r="AC2" i="5"/>
  <c r="U2" i="5"/>
  <c r="M2" i="5"/>
  <c r="E2" i="5"/>
  <c r="AB1" i="5"/>
  <c r="T1" i="5"/>
  <c r="L1" i="5"/>
  <c r="D1" i="5"/>
  <c r="D30" i="6"/>
  <c r="D28" i="6"/>
  <c r="A21" i="6"/>
  <c r="A13" i="6"/>
  <c r="A5" i="6"/>
  <c r="AD16" i="3"/>
  <c r="AB15" i="3"/>
  <c r="AD13" i="3"/>
  <c r="AB12" i="3"/>
  <c r="AB11" i="3"/>
  <c r="AE10" i="3"/>
  <c r="AE9" i="3"/>
  <c r="AD8" i="3"/>
  <c r="AD7" i="3"/>
  <c r="AC6" i="3"/>
  <c r="AB4" i="3"/>
  <c r="AB3" i="3"/>
  <c r="AE2" i="3"/>
  <c r="AE1" i="3"/>
  <c r="AA1" i="3"/>
  <c r="W1" i="3"/>
  <c r="S1" i="3"/>
  <c r="O1" i="3"/>
  <c r="K1" i="3"/>
  <c r="G1" i="3"/>
  <c r="C1" i="3"/>
  <c r="AD22" i="7"/>
  <c r="AC21" i="7"/>
  <c r="AE19" i="7"/>
  <c r="AD18" i="7"/>
  <c r="AC17" i="7"/>
  <c r="AE15" i="7"/>
  <c r="AD14" i="7"/>
  <c r="AC13" i="7"/>
  <c r="AE11" i="7"/>
  <c r="AD10" i="7"/>
  <c r="AC9" i="7"/>
  <c r="AE7" i="7"/>
  <c r="H9" i="5"/>
  <c r="V7" i="5"/>
  <c r="K7" i="5"/>
  <c r="AE6" i="5"/>
  <c r="U6" i="5"/>
  <c r="J6" i="5"/>
  <c r="AD5" i="5"/>
  <c r="T5" i="5"/>
  <c r="I5" i="5"/>
  <c r="AC4" i="5"/>
  <c r="S4" i="5"/>
  <c r="H4" i="5"/>
  <c r="AC3" i="5"/>
  <c r="U3" i="5"/>
  <c r="M3" i="5"/>
  <c r="E3" i="5"/>
  <c r="AB2" i="5"/>
  <c r="T2" i="5"/>
  <c r="L2" i="5"/>
  <c r="D2" i="5"/>
  <c r="AA1" i="5"/>
  <c r="S1" i="5"/>
  <c r="K1" i="5"/>
  <c r="C1" i="5"/>
  <c r="C30" i="6"/>
  <c r="C28" i="6"/>
  <c r="A23" i="6"/>
  <c r="A15" i="6"/>
  <c r="A7" i="6"/>
  <c r="AC16" i="3"/>
  <c r="AE14" i="3"/>
  <c r="AB13" i="3"/>
  <c r="AE11" i="3"/>
  <c r="AD10" i="3"/>
  <c r="AD9" i="3"/>
  <c r="AC8" i="3"/>
  <c r="AC7" i="3"/>
  <c r="AB6" i="3"/>
  <c r="AB5" i="3"/>
  <c r="AE4" i="3"/>
  <c r="AE3" i="3"/>
  <c r="AD2" i="3"/>
  <c r="AD1" i="3"/>
  <c r="Z1" i="3"/>
  <c r="V1" i="3"/>
  <c r="R1" i="3"/>
  <c r="N1" i="3"/>
  <c r="J1" i="3"/>
  <c r="F1" i="3"/>
  <c r="B1" i="3"/>
  <c r="AC22" i="7"/>
  <c r="AE8" i="5"/>
  <c r="AB7" i="5"/>
  <c r="R7" i="5"/>
  <c r="G7" i="5"/>
  <c r="AA6" i="5"/>
  <c r="Q6" i="5"/>
  <c r="F6" i="5"/>
  <c r="Z5" i="5"/>
  <c r="P5" i="5"/>
  <c r="E5" i="5"/>
  <c r="Y4" i="5"/>
  <c r="O4" i="5"/>
  <c r="D4" i="5"/>
  <c r="Z3" i="5"/>
  <c r="R3" i="5"/>
  <c r="J3" i="5"/>
  <c r="B3" i="5"/>
  <c r="Y2" i="5"/>
  <c r="Q2" i="5"/>
  <c r="I2" i="5"/>
  <c r="A2" i="5"/>
  <c r="X1" i="5"/>
  <c r="P1" i="5"/>
  <c r="H1" i="5"/>
  <c r="D31" i="6"/>
  <c r="D29" i="6"/>
  <c r="A25" i="6"/>
  <c r="A17" i="6"/>
  <c r="A9" i="6"/>
  <c r="AB16" i="3"/>
  <c r="AE15" i="3"/>
  <c r="AC14" i="3"/>
  <c r="AE12" i="3"/>
  <c r="AD11" i="3"/>
  <c r="AC10" i="3"/>
  <c r="AC9" i="3"/>
  <c r="AB8" i="3"/>
  <c r="AB7" i="3"/>
  <c r="AE6" i="3"/>
  <c r="AE5" i="3"/>
  <c r="AD4" i="3"/>
  <c r="AC2" i="3"/>
  <c r="AC1" i="3"/>
  <c r="Y1" i="3"/>
  <c r="U1" i="3"/>
  <c r="Q1" i="3"/>
  <c r="M1" i="3"/>
  <c r="I1" i="3"/>
  <c r="E1" i="3"/>
  <c r="A1" i="3"/>
  <c r="AE21" i="7"/>
  <c r="X9" i="5"/>
  <c r="AA7" i="5"/>
  <c r="P7" i="5"/>
  <c r="F7" i="5"/>
  <c r="Z6" i="5"/>
  <c r="O6" i="5"/>
  <c r="E6" i="5"/>
  <c r="Y5" i="5"/>
  <c r="N5" i="5"/>
  <c r="D5" i="5"/>
  <c r="X4" i="5"/>
  <c r="M4" i="5"/>
  <c r="C4" i="5"/>
  <c r="Y3" i="5"/>
  <c r="Q3" i="5"/>
  <c r="I3" i="5"/>
  <c r="A3" i="5"/>
  <c r="X2" i="5"/>
  <c r="P2" i="5"/>
  <c r="H2" i="5"/>
  <c r="AE1" i="5"/>
  <c r="W1" i="5"/>
  <c r="O1" i="5"/>
  <c r="G1" i="5"/>
  <c r="C31" i="6"/>
  <c r="C29" i="6"/>
  <c r="A27" i="6"/>
  <c r="A19" i="6"/>
  <c r="A11" i="6"/>
  <c r="A3" i="6"/>
  <c r="A1" i="6"/>
  <c r="AC15" i="3"/>
  <c r="AB14" i="3"/>
  <c r="AE13" i="3"/>
  <c r="AD12" i="3"/>
  <c r="AC11" i="3"/>
  <c r="AB10" i="3"/>
  <c r="AB9" i="3"/>
  <c r="AE8" i="3"/>
  <c r="AE7" i="3"/>
  <c r="AD6" i="3"/>
  <c r="AC4" i="3"/>
  <c r="AC3" i="3"/>
  <c r="AB2" i="3"/>
  <c r="AB1" i="3"/>
  <c r="X1" i="3"/>
  <c r="T1" i="3"/>
  <c r="P1" i="3"/>
  <c r="L1" i="3"/>
  <c r="H1" i="3"/>
  <c r="D1" i="3"/>
  <c r="AE22" i="7"/>
  <c r="AD21" i="7"/>
  <c r="AC20" i="7"/>
  <c r="AE18" i="7"/>
  <c r="AD17" i="7"/>
  <c r="AC16" i="7"/>
  <c r="AE14" i="7"/>
  <c r="AD13" i="7"/>
  <c r="AC12" i="7"/>
  <c r="AE10" i="7"/>
  <c r="AD9" i="7"/>
  <c r="AC8" i="7"/>
  <c r="AE6" i="7"/>
  <c r="AD5" i="7"/>
  <c r="AC4" i="7"/>
  <c r="AE2" i="7"/>
  <c r="AE1" i="7"/>
  <c r="AA1" i="7"/>
  <c r="W1" i="7"/>
  <c r="S1" i="7"/>
  <c r="O1" i="7"/>
  <c r="K1" i="7"/>
  <c r="G1" i="7"/>
  <c r="C1" i="7"/>
  <c r="AE47" i="1"/>
  <c r="AE2" i="1"/>
  <c r="AC5" i="3" s="1"/>
  <c r="AD6" i="7"/>
  <c r="AC5" i="7"/>
  <c r="AE3" i="7"/>
  <c r="AD2" i="7"/>
  <c r="AD1" i="7"/>
  <c r="Z1" i="7"/>
  <c r="V1" i="7"/>
  <c r="AD4" i="7"/>
  <c r="AC7" i="7"/>
  <c r="AE9" i="7"/>
  <c r="AD12" i="7"/>
  <c r="AC15" i="7"/>
  <c r="AE17" i="7"/>
  <c r="AD20" i="7"/>
  <c r="AD14" i="5" l="1"/>
  <c r="AD12" i="5"/>
  <c r="AB16" i="5"/>
  <c r="AD5" i="3"/>
  <c r="AD3" i="3"/>
</calcChain>
</file>

<file path=xl/sharedStrings.xml><?xml version="1.0" encoding="utf-8"?>
<sst xmlns="http://schemas.openxmlformats.org/spreadsheetml/2006/main" count="714" uniqueCount="78">
  <si>
    <t>Сводная месячная ведомость водно-энергетических показателей (ВЭП) работы ГЭС</t>
  </si>
  <si>
    <t xml:space="preserve"> Апрель 2016</t>
  </si>
  <si>
    <t>Параметр</t>
  </si>
  <si>
    <t>Итоговые за месяц</t>
  </si>
  <si>
    <t>Итоговые за декады</t>
  </si>
  <si>
    <t>I</t>
  </si>
  <si>
    <t>II</t>
  </si>
  <si>
    <t>III</t>
  </si>
  <si>
    <t>ВБ на 08-00, м</t>
  </si>
  <si>
    <t>Среднее</t>
  </si>
  <si>
    <t>НБ на 08-00, м</t>
  </si>
  <si>
    <t xml:space="preserve">ВБ средний, м
</t>
  </si>
  <si>
    <t>Наполнение/сработка, м</t>
  </si>
  <si>
    <t/>
  </si>
  <si>
    <t>НБ средний, м</t>
  </si>
  <si>
    <t>НБ макс, м</t>
  </si>
  <si>
    <t>Максимальное</t>
  </si>
  <si>
    <t>НБ мин, м</t>
  </si>
  <si>
    <t>Минимальное</t>
  </si>
  <si>
    <t>Н брутто, м</t>
  </si>
  <si>
    <t>Н нетто, м</t>
  </si>
  <si>
    <t>Н средний, м</t>
  </si>
  <si>
    <t>h сур, м</t>
  </si>
  <si>
    <t>Э сут, тыс.кВт*ч</t>
  </si>
  <si>
    <t>N средняя, МВт</t>
  </si>
  <si>
    <t>N макс, МВт</t>
  </si>
  <si>
    <t>N мин, МВт</t>
  </si>
  <si>
    <t>Q турб, м3/c</t>
  </si>
  <si>
    <t>Q х.сбр, м3/c</t>
  </si>
  <si>
    <t>Q фильт, м3/c</t>
  </si>
  <si>
    <t>Призмы, шт.</t>
  </si>
  <si>
    <t>Q шлюз, м3/c</t>
  </si>
  <si>
    <t>Сумма</t>
  </si>
  <si>
    <t>Q гэс, м3/c</t>
  </si>
  <si>
    <t>V гэс, млн.м3</t>
  </si>
  <si>
    <t>q уд, м3/кВт*ч</t>
  </si>
  <si>
    <t>Приток, м3/с</t>
  </si>
  <si>
    <t>V приток, млн.м3</t>
  </si>
  <si>
    <t>V полезный, млн.м3</t>
  </si>
  <si>
    <t>Т (ген. режим), час</t>
  </si>
  <si>
    <t>T (режим СК), час</t>
  </si>
  <si>
    <t>Коэффициент для h  норм</t>
  </si>
  <si>
    <t>h норм, м</t>
  </si>
  <si>
    <t>Э нараст, млн.кВт*ч</t>
  </si>
  <si>
    <t>Нарастающая</t>
  </si>
  <si>
    <t>Э план, млн.кВт*ч</t>
  </si>
  <si>
    <t>Э пл.нараст., млн.кВт*ч</t>
  </si>
  <si>
    <t>Э отклон, млн.кВт*ч</t>
  </si>
  <si>
    <t>НБ с 00-00 до 08-00, м</t>
  </si>
  <si>
    <t>Э нараст. год, млн.кВт*ч</t>
  </si>
  <si>
    <t>План ФСТ, млн.кВт*ч</t>
  </si>
  <si>
    <t>Бизнес-план, млн.кВт*ч</t>
  </si>
  <si>
    <t>Прогноз э/э, млн.кВт*ч</t>
  </si>
  <si>
    <t>Потребление, тыс.кВт*ч</t>
  </si>
  <si>
    <t>Температура воздуха, °C</t>
  </si>
  <si>
    <t>ВБ Воткинской ГЭС, м</t>
  </si>
  <si>
    <t>Режим "Весеннее половодье"</t>
  </si>
  <si>
    <t>ВБ средневзвешенный, м</t>
  </si>
  <si>
    <t>Приток на 08-00, м³/с</t>
  </si>
  <si>
    <t>Прогноз притока, м³/с</t>
  </si>
  <si>
    <t>Коррект. прогноза, м³/с</t>
  </si>
  <si>
    <t>(48):0:</t>
  </si>
  <si>
    <t>ВБ 8-00</t>
  </si>
  <si>
    <t>ВБтс8-00</t>
  </si>
  <si>
    <t>ВБ 8 тек</t>
  </si>
  <si>
    <t>ВБтс 8-00</t>
  </si>
  <si>
    <t>НБ 8-00</t>
  </si>
  <si>
    <t>НБтс8-00</t>
  </si>
  <si>
    <t>НБ 8 тек</t>
  </si>
  <si>
    <t>НБтс 8-00</t>
  </si>
  <si>
    <t>НБ макс</t>
  </si>
  <si>
    <t>НБ мин</t>
  </si>
  <si>
    <t>Приток</t>
  </si>
  <si>
    <t>Расход:</t>
  </si>
  <si>
    <t>Общий</t>
  </si>
  <si>
    <t>Холостой</t>
  </si>
  <si>
    <t>:31:++</t>
  </si>
  <si>
    <t>:0:==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</si>
</sst>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;;;"/>
  </numFmts>
  <fonts count="8" x14ac:knownFonts="1">
    <font>
      <sz val="11"/>
      <color theme="1"/>
      <name val="Calibri"/>
    </font>
    <font>
      <sz val="1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1"/>
      <name val="Calibri"/>
      <family val="2"/>
      <charset val="204"/>
    </font>
    <font>
      <i/>
      <sz val="9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11"/>
      <color rgb="FF333333"/>
      <name val="Arial"/>
      <family val="2"/>
      <charset val="204"/>
    </font>
    <font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8E8E8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3" fillId="2" borderId="1" xfId="3" applyFont="1" applyFill="1" applyBorder="1" applyAlignment="1" applyProtection="1">
      <alignment horizontal="right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0" fillId="3" borderId="0" xfId="0" applyNumberFormat="1" applyFill="1"/>
    <xf numFmtId="0" fontId="3" fillId="2" borderId="1" xfId="3" applyFont="1" applyFill="1" applyBorder="1" applyAlignment="1" applyProtection="1">
      <alignment horizontal="righ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0" fillId="3" borderId="0" xfId="0" applyFill="1"/>
    <xf numFmtId="2" fontId="0" fillId="3" borderId="4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3" fillId="2" borderId="6" xfId="3" applyFont="1" applyFill="1" applyBorder="1" applyAlignment="1" applyProtection="1">
      <alignment horizontal="right" vertical="center" wrapText="1"/>
    </xf>
    <xf numFmtId="2" fontId="4" fillId="3" borderId="5" xfId="0" applyNumberFormat="1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horizontal="center" vertical="top" wrapText="1"/>
    </xf>
    <xf numFmtId="0" fontId="3" fillId="2" borderId="1" xfId="3" applyFont="1" applyFill="1" applyBorder="1" applyAlignment="1" applyProtection="1">
      <alignment horizontal="right" vertical="justify" wrapText="1"/>
    </xf>
    <xf numFmtId="0" fontId="0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0" fontId="3" fillId="2" borderId="7" xfId="3" applyFont="1" applyFill="1" applyBorder="1" applyAlignment="1" applyProtection="1">
      <alignment horizontal="right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 applyProtection="1">
      <alignment horizontal="right" vertical="center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1" fillId="0" borderId="0" xfId="1"/>
    <xf numFmtId="0" fontId="3" fillId="2" borderId="1" xfId="3" applyFont="1" applyFill="1" applyBorder="1" applyAlignment="1" applyProtection="1">
      <alignment horizontal="left" vertical="center" wrapText="1"/>
    </xf>
    <xf numFmtId="0" fontId="3" fillId="2" borderId="12" xfId="3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3" fillId="2" borderId="7" xfId="3" applyFont="1" applyFill="1" applyBorder="1" applyAlignment="1" applyProtection="1">
      <alignment horizontal="right" vertical="center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9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ill="1" applyBorder="1"/>
    <xf numFmtId="2" fontId="0" fillId="0" borderId="0" xfId="0" applyNumberFormat="1"/>
    <xf numFmtId="165" fontId="0" fillId="0" borderId="0" xfId="0" applyNumberFormat="1"/>
    <xf numFmtId="3" fontId="0" fillId="0" borderId="0" xfId="0" applyNumberFormat="1" applyFill="1" applyBorder="1"/>
    <xf numFmtId="0" fontId="0" fillId="0" borderId="0" xfId="0" applyBorder="1"/>
    <xf numFmtId="0" fontId="0" fillId="0" borderId="4" xfId="0" applyNumberFormat="1" applyBorder="1"/>
    <xf numFmtId="0" fontId="0" fillId="0" borderId="4" xfId="0" applyBorder="1"/>
    <xf numFmtId="2" fontId="0" fillId="0" borderId="4" xfId="0" applyNumberFormat="1" applyBorder="1"/>
    <xf numFmtId="1" fontId="0" fillId="0" borderId="0" xfId="0" applyNumberFormat="1"/>
    <xf numFmtId="1" fontId="0" fillId="0" borderId="4" xfId="0" applyNumberForma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b="0" i="0">
                <a:effectLst/>
              </a:rPr>
              <a:t>Диаграмма показателей работы ГЭС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Ведомость!$A$7</c:f>
              <c:strCache>
                <c:ptCount val="1"/>
                <c:pt idx="0">
                  <c:v>НБ средний, м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Ведомость!$B$7:$AF$7</c:f>
              <c:numCache>
                <c:formatCode>0.00</c:formatCode>
                <c:ptCount val="31"/>
                <c:pt idx="0">
                  <c:v>87.567567507425906</c:v>
                </c:pt>
                <c:pt idx="1">
                  <c:v>87.108402252197095</c:v>
                </c:pt>
                <c:pt idx="2">
                  <c:v>86.996459643045895</c:v>
                </c:pt>
                <c:pt idx="3">
                  <c:v>87.6682984034219</c:v>
                </c:pt>
                <c:pt idx="4">
                  <c:v>87.909183184305704</c:v>
                </c:pt>
                <c:pt idx="5">
                  <c:v>87.982787132263098</c:v>
                </c:pt>
                <c:pt idx="6">
                  <c:v>88.160557746887207</c:v>
                </c:pt>
                <c:pt idx="7">
                  <c:v>87.919310887654703</c:v>
                </c:pt>
                <c:pt idx="8">
                  <c:v>87.951862653096498</c:v>
                </c:pt>
                <c:pt idx="9">
                  <c:v>87.835218111673896</c:v>
                </c:pt>
                <c:pt idx="10">
                  <c:v>88.006659825642799</c:v>
                </c:pt>
                <c:pt idx="11">
                  <c:v>87.839377403259206</c:v>
                </c:pt>
                <c:pt idx="12">
                  <c:v>88.432187080383201</c:v>
                </c:pt>
                <c:pt idx="13">
                  <c:v>88.692061106363994</c:v>
                </c:pt>
                <c:pt idx="14">
                  <c:v>88.708156903584793</c:v>
                </c:pt>
                <c:pt idx="15">
                  <c:v>88.462388674417994</c:v>
                </c:pt>
                <c:pt idx="16">
                  <c:v>88.355327924092606</c:v>
                </c:pt>
                <c:pt idx="17">
                  <c:v>88.585363070170104</c:v>
                </c:pt>
                <c:pt idx="18">
                  <c:v>88.883032798766905</c:v>
                </c:pt>
                <c:pt idx="19">
                  <c:v>89.712207794189197</c:v>
                </c:pt>
                <c:pt idx="20">
                  <c:v>91.052629470824996</c:v>
                </c:pt>
                <c:pt idx="21">
                  <c:v>92.187612533569094</c:v>
                </c:pt>
                <c:pt idx="22">
                  <c:v>92.623810450235794</c:v>
                </c:pt>
                <c:pt idx="23">
                  <c:v>92.732498486836704</c:v>
                </c:pt>
                <c:pt idx="24">
                  <c:v>92.852398554483997</c:v>
                </c:pt>
                <c:pt idx="25">
                  <c:v>92.910992940266894</c:v>
                </c:pt>
                <c:pt idx="26">
                  <c:v>92.999967892964506</c:v>
                </c:pt>
                <c:pt idx="27">
                  <c:v>93.095091819763098</c:v>
                </c:pt>
                <c:pt idx="28">
                  <c:v>93.2050457000731</c:v>
                </c:pt>
                <c:pt idx="29">
                  <c:v>93.2802775700886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Ведомость!$A$5</c:f>
              <c:strCache>
                <c:ptCount val="1"/>
                <c:pt idx="0">
                  <c:v>ВБ средний, м
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2"/>
          <c:tx>
            <c:strRef>
              <c:f>Ведомость!$A$8</c:f>
              <c:strCache>
                <c:ptCount val="1"/>
                <c:pt idx="0">
                  <c:v>НБ макс, м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Ведомость!$B$8:$AF$8</c:f>
              <c:numCache>
                <c:formatCode>0.00</c:formatCode>
                <c:ptCount val="31"/>
                <c:pt idx="0">
                  <c:v>88.431282043457003</c:v>
                </c:pt>
                <c:pt idx="1">
                  <c:v>87.771560668945</c:v>
                </c:pt>
                <c:pt idx="2">
                  <c:v>87.619651794434006</c:v>
                </c:pt>
                <c:pt idx="3">
                  <c:v>88.583190917969006</c:v>
                </c:pt>
                <c:pt idx="4">
                  <c:v>88.596214294434006</c:v>
                </c:pt>
                <c:pt idx="5">
                  <c:v>88.518089294434006</c:v>
                </c:pt>
                <c:pt idx="6">
                  <c:v>88.704719543457003</c:v>
                </c:pt>
                <c:pt idx="7">
                  <c:v>88.639617919922003</c:v>
                </c:pt>
                <c:pt idx="8">
                  <c:v>88.21427154541</c:v>
                </c:pt>
                <c:pt idx="9">
                  <c:v>88.062362670897997</c:v>
                </c:pt>
                <c:pt idx="10">
                  <c:v>88.570175170897997</c:v>
                </c:pt>
                <c:pt idx="11">
                  <c:v>88.400901794434006</c:v>
                </c:pt>
                <c:pt idx="12">
                  <c:v>88.626594543457003</c:v>
                </c:pt>
                <c:pt idx="13">
                  <c:v>88.726425170897997</c:v>
                </c:pt>
                <c:pt idx="14">
                  <c:v>88.72208404541</c:v>
                </c:pt>
                <c:pt idx="15">
                  <c:v>88.748123168945</c:v>
                </c:pt>
                <c:pt idx="16">
                  <c:v>88.626594543457003</c:v>
                </c:pt>
                <c:pt idx="17">
                  <c:v>88.626594543457003</c:v>
                </c:pt>
                <c:pt idx="18">
                  <c:v>89.32103729248</c:v>
                </c:pt>
                <c:pt idx="19">
                  <c:v>90.232498168945</c:v>
                </c:pt>
                <c:pt idx="20">
                  <c:v>91.894821166992003</c:v>
                </c:pt>
                <c:pt idx="21">
                  <c:v>92.58927154541</c:v>
                </c:pt>
                <c:pt idx="22">
                  <c:v>92.710800170897997</c:v>
                </c:pt>
                <c:pt idx="23">
                  <c:v>92.793258666992003</c:v>
                </c:pt>
                <c:pt idx="24">
                  <c:v>92.923469543457003</c:v>
                </c:pt>
                <c:pt idx="25">
                  <c:v>92.95384979248</c:v>
                </c:pt>
                <c:pt idx="26">
                  <c:v>93.05802154541</c:v>
                </c:pt>
                <c:pt idx="27">
                  <c:v>93.153503417969006</c:v>
                </c:pt>
                <c:pt idx="28">
                  <c:v>93.262008666992003</c:v>
                </c:pt>
                <c:pt idx="29">
                  <c:v>93.34447479248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Ведомость!$A$9</c:f>
              <c:strCache>
                <c:ptCount val="1"/>
                <c:pt idx="0">
                  <c:v>НБ мин, м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4"/>
          <c:tx>
            <c:strRef>
              <c:f>Ведомость!$A$12</c:f>
              <c:strCache>
                <c:ptCount val="1"/>
                <c:pt idx="0">
                  <c:v>Н средний, м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Ведомость!$B$12:$AF$12</c:f>
              <c:numCache>
                <c:formatCode>0.00</c:formatCode>
                <c:ptCount val="31"/>
                <c:pt idx="0">
                  <c:v>14.937373762648701</c:v>
                </c:pt>
                <c:pt idx="1">
                  <c:v>15.4029659053832</c:v>
                </c:pt>
                <c:pt idx="2">
                  <c:v>15.485663848467</c:v>
                </c:pt>
                <c:pt idx="3">
                  <c:v>14.655906061384499</c:v>
                </c:pt>
                <c:pt idx="4">
                  <c:v>14.3900016294333</c:v>
                </c:pt>
                <c:pt idx="5">
                  <c:v>14.201114840528801</c:v>
                </c:pt>
                <c:pt idx="6">
                  <c:v>13.9395094178284</c:v>
                </c:pt>
                <c:pt idx="7">
                  <c:v>14.179739070232801</c:v>
                </c:pt>
                <c:pt idx="8">
                  <c:v>14.0725914661831</c:v>
                </c:pt>
                <c:pt idx="9">
                  <c:v>14.1783416449585</c:v>
                </c:pt>
                <c:pt idx="10">
                  <c:v>13.994884247836399</c:v>
                </c:pt>
                <c:pt idx="11">
                  <c:v>14.3694432938065</c:v>
                </c:pt>
                <c:pt idx="12">
                  <c:v>13.853130101787</c:v>
                </c:pt>
                <c:pt idx="13">
                  <c:v>13.7759493012409</c:v>
                </c:pt>
                <c:pt idx="14">
                  <c:v>14.0080299665652</c:v>
                </c:pt>
                <c:pt idx="15">
                  <c:v>14.576551500974301</c:v>
                </c:pt>
                <c:pt idx="16">
                  <c:v>15.181021308993</c:v>
                </c:pt>
                <c:pt idx="17">
                  <c:v>15.420476184395699</c:v>
                </c:pt>
                <c:pt idx="18">
                  <c:v>15.570934135480099</c:v>
                </c:pt>
                <c:pt idx="19">
                  <c:v>15.264123601504499</c:v>
                </c:pt>
                <c:pt idx="20">
                  <c:v>14.3845169476599</c:v>
                </c:pt>
                <c:pt idx="21">
                  <c:v>13.680228173655101</c:v>
                </c:pt>
                <c:pt idx="22">
                  <c:v>13.608476648612299</c:v>
                </c:pt>
                <c:pt idx="23">
                  <c:v>13.8232588626348</c:v>
                </c:pt>
                <c:pt idx="24">
                  <c:v>13.986685423618701</c:v>
                </c:pt>
                <c:pt idx="25">
                  <c:v>14.2292458637067</c:v>
                </c:pt>
                <c:pt idx="26">
                  <c:v>14.289095750081801</c:v>
                </c:pt>
                <c:pt idx="27">
                  <c:v>14.3227188760575</c:v>
                </c:pt>
                <c:pt idx="28">
                  <c:v>14.276071659947499</c:v>
                </c:pt>
                <c:pt idx="29">
                  <c:v>14.230555945643999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Ведомость!$A$18</c:f>
              <c:strCache>
                <c:ptCount val="1"/>
                <c:pt idx="0">
                  <c:v>Q турб, м3/c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Ведомость!$B$18:$AF$18</c:f>
              <c:numCache>
                <c:formatCode>0.00</c:formatCode>
                <c:ptCount val="31"/>
                <c:pt idx="0">
                  <c:v>1432.9903054607701</c:v>
                </c:pt>
                <c:pt idx="1">
                  <c:v>1141.0625831960199</c:v>
                </c:pt>
                <c:pt idx="2">
                  <c:v>1123.5352310236401</c:v>
                </c:pt>
                <c:pt idx="3">
                  <c:v>2069.8333739060299</c:v>
                </c:pt>
                <c:pt idx="4">
                  <c:v>2072.7665626954699</c:v>
                </c:pt>
                <c:pt idx="5">
                  <c:v>2073.59298894638</c:v>
                </c:pt>
                <c:pt idx="6">
                  <c:v>2110.8987189482</c:v>
                </c:pt>
                <c:pt idx="7">
                  <c:v>1968.9912815775001</c:v>
                </c:pt>
                <c:pt idx="8">
                  <c:v>2004.6740754822999</c:v>
                </c:pt>
                <c:pt idx="9">
                  <c:v>1961.2256356160599</c:v>
                </c:pt>
                <c:pt idx="10">
                  <c:v>2039.80074855062</c:v>
                </c:pt>
                <c:pt idx="11">
                  <c:v>1957.98094685263</c:v>
                </c:pt>
                <c:pt idx="12">
                  <c:v>2845.7533905140999</c:v>
                </c:pt>
                <c:pt idx="13">
                  <c:v>2990.8967954603099</c:v>
                </c:pt>
                <c:pt idx="14">
                  <c:v>2988.5172294761501</c:v>
                </c:pt>
                <c:pt idx="15">
                  <c:v>2988.5172294761501</c:v>
                </c:pt>
                <c:pt idx="16">
                  <c:v>2988.5172294761501</c:v>
                </c:pt>
                <c:pt idx="17">
                  <c:v>2988.5172294761501</c:v>
                </c:pt>
                <c:pt idx="18">
                  <c:v>2988.5172294761501</c:v>
                </c:pt>
                <c:pt idx="19">
                  <c:v>2988.5172294761501</c:v>
                </c:pt>
                <c:pt idx="20">
                  <c:v>2988.5172294761501</c:v>
                </c:pt>
                <c:pt idx="21">
                  <c:v>3225.73435569514</c:v>
                </c:pt>
                <c:pt idx="22">
                  <c:v>3265.8877435157601</c:v>
                </c:pt>
                <c:pt idx="23">
                  <c:v>3093.2235426002799</c:v>
                </c:pt>
                <c:pt idx="24">
                  <c:v>3113.61945123849</c:v>
                </c:pt>
                <c:pt idx="25">
                  <c:v>3087.5967810341599</c:v>
                </c:pt>
                <c:pt idx="26">
                  <c:v>3253.49190085696</c:v>
                </c:pt>
                <c:pt idx="27">
                  <c:v>3279.3952334836899</c:v>
                </c:pt>
                <c:pt idx="28">
                  <c:v>3570.2085582290902</c:v>
                </c:pt>
                <c:pt idx="29">
                  <c:v>3734.0555369026902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Ведомость!$A$19</c:f>
              <c:strCache>
                <c:ptCount val="1"/>
                <c:pt idx="0">
                  <c:v>Q х.сбр, м3/c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Ведомость!$B$19:$AF$19</c:f>
              <c:numCache>
                <c:formatCode>0.00</c:formatCode>
                <c:ptCount val="31"/>
                <c:pt idx="0">
                  <c:v>1335.8673972957099</c:v>
                </c:pt>
                <c:pt idx="1">
                  <c:v>1325.59470341624</c:v>
                </c:pt>
                <c:pt idx="2">
                  <c:v>1318.45249336083</c:v>
                </c:pt>
                <c:pt idx="3">
                  <c:v>1293.8885234383299</c:v>
                </c:pt>
                <c:pt idx="4">
                  <c:v>1270.4984551323</c:v>
                </c:pt>
                <c:pt idx="5">
                  <c:v>1246.37700038614</c:v>
                </c:pt>
                <c:pt idx="6">
                  <c:v>1225.42387139322</c:v>
                </c:pt>
                <c:pt idx="7">
                  <c:v>1213.0782861662601</c:v>
                </c:pt>
                <c:pt idx="8">
                  <c:v>1200.5139632145499</c:v>
                </c:pt>
                <c:pt idx="9">
                  <c:v>1209.96606372107</c:v>
                </c:pt>
                <c:pt idx="10">
                  <c:v>1228.6174438389701</c:v>
                </c:pt>
                <c:pt idx="11">
                  <c:v>1266.6907928037899</c:v>
                </c:pt>
                <c:pt idx="12">
                  <c:v>1299.41703210235</c:v>
                </c:pt>
                <c:pt idx="13">
                  <c:v>1349.007771797</c:v>
                </c:pt>
                <c:pt idx="14">
                  <c:v>1415.54895877594</c:v>
                </c:pt>
                <c:pt idx="15">
                  <c:v>1505.72063145634</c:v>
                </c:pt>
                <c:pt idx="16">
                  <c:v>1610.3959985091301</c:v>
                </c:pt>
                <c:pt idx="17">
                  <c:v>1548.3518904949401</c:v>
                </c:pt>
                <c:pt idx="18">
                  <c:v>1117.9632891572101</c:v>
                </c:pt>
                <c:pt idx="19">
                  <c:v>1740.75617744393</c:v>
                </c:pt>
                <c:pt idx="20">
                  <c:v>3746.4244493920201</c:v>
                </c:pt>
                <c:pt idx="21">
                  <c:v>5307.6960256656903</c:v>
                </c:pt>
                <c:pt idx="22">
                  <c:v>5788.6250162451297</c:v>
                </c:pt>
                <c:pt idx="23">
                  <c:v>5919.65647673083</c:v>
                </c:pt>
                <c:pt idx="24">
                  <c:v>6024.9466267071002</c:v>
                </c:pt>
                <c:pt idx="25">
                  <c:v>6118.6178515904003</c:v>
                </c:pt>
                <c:pt idx="26">
                  <c:v>6191.7420169511697</c:v>
                </c:pt>
                <c:pt idx="27">
                  <c:v>6256.8130185705804</c:v>
                </c:pt>
                <c:pt idx="28">
                  <c:v>6295.9326828890898</c:v>
                </c:pt>
                <c:pt idx="29">
                  <c:v>6144.3151305005604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Ведомость!$A$20</c:f>
              <c:strCache>
                <c:ptCount val="1"/>
                <c:pt idx="0">
                  <c:v>Q фильт, м3/c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Ведомость!$B$20:$AF$20</c:f>
              <c:numCache>
                <c:formatCode>General</c:formatCode>
                <c:ptCount val="3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Ведомость!$A$22</c:f>
              <c:strCache>
                <c:ptCount val="1"/>
                <c:pt idx="0">
                  <c:v>Q шлюз, м3/c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Ведомость!$B$22:$AF$22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Ведомость!$A$23</c:f>
              <c:strCache>
                <c:ptCount val="1"/>
                <c:pt idx="0">
                  <c:v>Q гэс, м3/c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Ведомость!$B$23:$AF$23</c:f>
              <c:numCache>
                <c:formatCode>0.00</c:formatCode>
                <c:ptCount val="31"/>
                <c:pt idx="0">
                  <c:v>2771.8577027564802</c:v>
                </c:pt>
                <c:pt idx="1">
                  <c:v>2469.6572866122601</c:v>
                </c:pt>
                <c:pt idx="2">
                  <c:v>2444.9877243844699</c:v>
                </c:pt>
                <c:pt idx="3">
                  <c:v>3366.7218973443501</c:v>
                </c:pt>
                <c:pt idx="4">
                  <c:v>3346.26501782777</c:v>
                </c:pt>
                <c:pt idx="5">
                  <c:v>3322.9699893325201</c:v>
                </c:pt>
                <c:pt idx="6">
                  <c:v>3339.32259034142</c:v>
                </c:pt>
                <c:pt idx="7">
                  <c:v>3185.0695677437602</c:v>
                </c:pt>
                <c:pt idx="8">
                  <c:v>3208.1880386968501</c:v>
                </c:pt>
                <c:pt idx="9">
                  <c:v>3174.1916993371301</c:v>
                </c:pt>
                <c:pt idx="10">
                  <c:v>3271.4181923895999</c:v>
                </c:pt>
                <c:pt idx="11">
                  <c:v>3227.67173965642</c:v>
                </c:pt>
                <c:pt idx="12">
                  <c:v>4148.1704226164502</c:v>
                </c:pt>
                <c:pt idx="13">
                  <c:v>4342.9045672573102</c:v>
                </c:pt>
                <c:pt idx="14">
                  <c:v>4407.0661882520899</c:v>
                </c:pt>
                <c:pt idx="15">
                  <c:v>4497.2378609324896</c:v>
                </c:pt>
                <c:pt idx="16">
                  <c:v>4601.9132279852802</c:v>
                </c:pt>
                <c:pt idx="17">
                  <c:v>4539.8691199710902</c:v>
                </c:pt>
                <c:pt idx="18">
                  <c:v>4109.4805186333597</c:v>
                </c:pt>
                <c:pt idx="19">
                  <c:v>4732.2734069200797</c:v>
                </c:pt>
                <c:pt idx="20">
                  <c:v>6737.9416788681701</c:v>
                </c:pt>
                <c:pt idx="21">
                  <c:v>8536.4303813608294</c:v>
                </c:pt>
                <c:pt idx="22">
                  <c:v>9057.5127597608898</c:v>
                </c:pt>
                <c:pt idx="23">
                  <c:v>9015.8800193311108</c:v>
                </c:pt>
                <c:pt idx="24">
                  <c:v>9141.5660779455793</c:v>
                </c:pt>
                <c:pt idx="25">
                  <c:v>9209.2146326245493</c:v>
                </c:pt>
                <c:pt idx="26">
                  <c:v>9448.2339178081293</c:v>
                </c:pt>
                <c:pt idx="27">
                  <c:v>9539.2082520542699</c:v>
                </c:pt>
                <c:pt idx="28">
                  <c:v>9869.1412411181791</c:v>
                </c:pt>
                <c:pt idx="29">
                  <c:v>9881.3706674032492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Ведомость!$A$26</c:f>
              <c:strCache>
                <c:ptCount val="1"/>
                <c:pt idx="0">
                  <c:v>Приток, м3/с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Ведомость!$B$2:$AF$2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Ведомость!$B$26:$AF$26</c:f>
              <c:numCache>
                <c:formatCode>General</c:formatCode>
                <c:ptCount val="31"/>
                <c:pt idx="0">
                  <c:v>767</c:v>
                </c:pt>
                <c:pt idx="1">
                  <c:v>804</c:v>
                </c:pt>
                <c:pt idx="2">
                  <c:v>842</c:v>
                </c:pt>
                <c:pt idx="3">
                  <c:v>893</c:v>
                </c:pt>
                <c:pt idx="4">
                  <c:v>952</c:v>
                </c:pt>
                <c:pt idx="5">
                  <c:v>1060</c:v>
                </c:pt>
                <c:pt idx="6">
                  <c:v>1280</c:v>
                </c:pt>
                <c:pt idx="7">
                  <c:v>1640</c:v>
                </c:pt>
                <c:pt idx="8">
                  <c:v>2040</c:v>
                </c:pt>
                <c:pt idx="9">
                  <c:v>2760</c:v>
                </c:pt>
                <c:pt idx="10">
                  <c:v>3710</c:v>
                </c:pt>
                <c:pt idx="11">
                  <c:v>4660</c:v>
                </c:pt>
                <c:pt idx="12">
                  <c:v>5500</c:v>
                </c:pt>
                <c:pt idx="13">
                  <c:v>5920</c:v>
                </c:pt>
                <c:pt idx="14">
                  <c:v>6050</c:v>
                </c:pt>
                <c:pt idx="15">
                  <c:v>7130</c:v>
                </c:pt>
                <c:pt idx="16">
                  <c:v>8870</c:v>
                </c:pt>
                <c:pt idx="17">
                  <c:v>10310</c:v>
                </c:pt>
                <c:pt idx="18">
                  <c:v>11720</c:v>
                </c:pt>
                <c:pt idx="19">
                  <c:v>13100</c:v>
                </c:pt>
                <c:pt idx="20">
                  <c:v>14200</c:v>
                </c:pt>
                <c:pt idx="21">
                  <c:v>14800</c:v>
                </c:pt>
                <c:pt idx="22">
                  <c:v>15100</c:v>
                </c:pt>
                <c:pt idx="23">
                  <c:v>15600</c:v>
                </c:pt>
                <c:pt idx="24">
                  <c:v>15100</c:v>
                </c:pt>
                <c:pt idx="25">
                  <c:v>14600</c:v>
                </c:pt>
                <c:pt idx="26">
                  <c:v>13900</c:v>
                </c:pt>
                <c:pt idx="27">
                  <c:v>13100</c:v>
                </c:pt>
                <c:pt idx="28">
                  <c:v>12100</c:v>
                </c:pt>
                <c:pt idx="29">
                  <c:v>11300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6418760"/>
        <c:axId val="326419152"/>
      </c:lineChart>
      <c:catAx>
        <c:axId val="32641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419152"/>
        <c:crosses val="autoZero"/>
        <c:auto val="1"/>
        <c:lblAlgn val="ctr"/>
        <c:lblOffset val="100"/>
        <c:noMultiLvlLbl val="0"/>
      </c:catAx>
      <c:valAx>
        <c:axId val="3264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6418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30256</xdr:colOff>
      <xdr:row>52</xdr:row>
      <xdr:rowOff>10086</xdr:rowOff>
    </xdr:from>
    <xdr:to>
      <xdr:col>16</xdr:col>
      <xdr:colOff>19049</xdr:colOff>
      <xdr:row>79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8"/>
  <sheetViews>
    <sheetView tabSelected="1" topLeftCell="A19" zoomScale="85" zoomScaleNormal="85" zoomScaleSheetLayoutView="55" workbookViewId="0">
      <selection activeCell="AN109" sqref="AN109"/>
    </sheetView>
  </sheetViews>
  <sheetFormatPr defaultRowHeight="15" x14ac:dyDescent="0.25"/>
  <cols>
    <col min="1" max="1" width="25.140625" customWidth="1"/>
    <col min="2" max="2" width="7.7109375" customWidth="1"/>
    <col min="3" max="32" width="8.5703125" customWidth="1"/>
    <col min="33" max="33" width="9.5703125" hidden="1" customWidth="1"/>
    <col min="34" max="34" width="21.140625" customWidth="1"/>
    <col min="35" max="35" width="13.7109375" customWidth="1"/>
    <col min="36" max="36" width="6.42578125" hidden="1" customWidth="1"/>
    <col min="37" max="37" width="21.140625" customWidth="1"/>
    <col min="38" max="40" width="14" customWidth="1"/>
  </cols>
  <sheetData>
    <row r="1" spans="1:40" ht="2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 t="s">
        <v>1</v>
      </c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40" ht="13.5" customHeight="1" x14ac:dyDescent="0.25">
      <c r="A2" s="1" t="s">
        <v>2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  <c r="S2" s="2">
        <v>18</v>
      </c>
      <c r="T2" s="2">
        <v>19</v>
      </c>
      <c r="U2" s="2">
        <v>20</v>
      </c>
      <c r="V2" s="2">
        <v>21</v>
      </c>
      <c r="W2" s="2">
        <v>22</v>
      </c>
      <c r="X2" s="2">
        <v>23</v>
      </c>
      <c r="Y2" s="2">
        <v>24</v>
      </c>
      <c r="Z2" s="2">
        <v>25</v>
      </c>
      <c r="AA2" s="2">
        <v>26</v>
      </c>
      <c r="AB2" s="2">
        <v>27</v>
      </c>
      <c r="AC2" s="2" t="str">
        <f>IF(COLUMN()-1 &lt;= 'Макет 017'!AK1,"28","")</f>
        <v>28</v>
      </c>
      <c r="AD2" s="2" t="str">
        <f>IF(COLUMN()-1 &lt;= 'Макет 017'!AK1,"29","")</f>
        <v>29</v>
      </c>
      <c r="AE2" s="2" t="str">
        <f>IF(COLUMN()-1 &lt;= 'Макет 017'!AK1,"30","")</f>
        <v>30</v>
      </c>
      <c r="AF2" s="2" t="str">
        <f>IF(COLUMN()-1 &lt;= 'Макет 017'!AK1,"31","")</f>
        <v/>
      </c>
      <c r="AG2" s="3"/>
      <c r="AH2" s="4" t="s">
        <v>3</v>
      </c>
      <c r="AI2" s="5"/>
      <c r="AJ2" s="6"/>
      <c r="AK2" s="4" t="s">
        <v>4</v>
      </c>
      <c r="AL2" s="2" t="s">
        <v>5</v>
      </c>
      <c r="AM2" s="2" t="s">
        <v>6</v>
      </c>
      <c r="AN2" s="5" t="s">
        <v>7</v>
      </c>
    </row>
    <row r="3" spans="1:40" ht="13.5" customHeight="1" x14ac:dyDescent="0.25">
      <c r="A3" s="1" t="s">
        <v>8</v>
      </c>
      <c r="B3" s="7">
        <v>103.14388275147</v>
      </c>
      <c r="C3" s="7">
        <v>103.07444000244</v>
      </c>
      <c r="D3" s="7">
        <v>103.04840087891</v>
      </c>
      <c r="E3" s="7">
        <v>103.00499725342</v>
      </c>
      <c r="F3" s="7">
        <v>102.8574295044</v>
      </c>
      <c r="G3" s="7">
        <v>102.81402587891</v>
      </c>
      <c r="H3" s="7">
        <v>102.71853637695</v>
      </c>
      <c r="I3" s="7">
        <v>102.68815612793</v>
      </c>
      <c r="J3" s="7">
        <v>102.53624725342</v>
      </c>
      <c r="K3" s="7">
        <v>102.61003112793</v>
      </c>
      <c r="L3" s="7">
        <v>102.61871337891</v>
      </c>
      <c r="M3" s="7">
        <v>102.80968475342</v>
      </c>
      <c r="N3" s="7">
        <v>102.87044525147</v>
      </c>
      <c r="O3" s="7">
        <v>103.08746337891</v>
      </c>
      <c r="P3" s="7">
        <v>103.30447387695</v>
      </c>
      <c r="Q3" s="7">
        <v>103.65169525147</v>
      </c>
      <c r="R3" s="7">
        <v>104.08572387695</v>
      </c>
      <c r="S3" s="7">
        <v>104.55447387695</v>
      </c>
      <c r="T3" s="7">
        <v>105.05833435059</v>
      </c>
      <c r="U3" s="7">
        <v>105.57746887207</v>
      </c>
      <c r="V3" s="7">
        <v>106.0631942749</v>
      </c>
      <c r="W3" s="7">
        <v>106.37097167969</v>
      </c>
      <c r="X3" s="7">
        <v>106.71517944336</v>
      </c>
      <c r="Y3" s="7">
        <v>107.02333831787</v>
      </c>
      <c r="Z3" s="7">
        <v>107.32281494141</v>
      </c>
      <c r="AA3" s="7">
        <v>107.60493469238</v>
      </c>
      <c r="AB3" s="7">
        <v>107.8349685669</v>
      </c>
      <c r="AC3" s="7">
        <v>108.00857543945</v>
      </c>
      <c r="AD3" s="7">
        <v>108.13010406494</v>
      </c>
      <c r="AE3" s="7">
        <v>108.20388793945</v>
      </c>
      <c r="AF3" s="8"/>
      <c r="AG3" s="6"/>
      <c r="AH3" s="9" t="s">
        <v>9</v>
      </c>
      <c r="AI3" s="10">
        <v>104.646419779461</v>
      </c>
      <c r="AJ3" s="6"/>
      <c r="AK3" s="9" t="s">
        <v>9</v>
      </c>
      <c r="AL3" s="11">
        <v>102.849614715578</v>
      </c>
      <c r="AM3" s="11">
        <v>103.761847686769</v>
      </c>
      <c r="AN3" s="10">
        <v>107.327796936035</v>
      </c>
    </row>
    <row r="4" spans="1:40" ht="13.5" customHeight="1" x14ac:dyDescent="0.25">
      <c r="A4" s="1" t="s">
        <v>10</v>
      </c>
      <c r="B4" s="7">
        <v>86.881805419922003</v>
      </c>
      <c r="C4" s="7">
        <v>86.725555419922003</v>
      </c>
      <c r="D4" s="7">
        <v>86.57364654541</v>
      </c>
      <c r="E4" s="7">
        <v>86.72989654541</v>
      </c>
      <c r="F4" s="7">
        <v>87.294128417969006</v>
      </c>
      <c r="G4" s="7">
        <v>87.012008666992003</v>
      </c>
      <c r="H4" s="7">
        <v>87.181282043457003</v>
      </c>
      <c r="I4" s="7">
        <v>86.942565917969006</v>
      </c>
      <c r="J4" s="7">
        <v>87.95384979248</v>
      </c>
      <c r="K4" s="7">
        <v>87.337532043457003</v>
      </c>
      <c r="L4" s="7">
        <v>87.424339294434006</v>
      </c>
      <c r="M4" s="7">
        <v>87.007675170897997</v>
      </c>
      <c r="N4" s="7">
        <v>88.435623168945</v>
      </c>
      <c r="O4" s="7">
        <v>88.68302154541</v>
      </c>
      <c r="P4" s="7">
        <v>88.717742919922003</v>
      </c>
      <c r="Q4" s="7">
        <v>88.505065917969006</v>
      </c>
      <c r="R4" s="7">
        <v>88.400901794434006</v>
      </c>
      <c r="S4" s="7">
        <v>88.583190917969006</v>
      </c>
      <c r="T4" s="7">
        <v>88.61791229248</v>
      </c>
      <c r="U4" s="7">
        <v>89.429550170897997</v>
      </c>
      <c r="V4" s="7">
        <v>90.427810668945</v>
      </c>
      <c r="W4" s="7">
        <v>91.929550170897997</v>
      </c>
      <c r="X4" s="7">
        <v>92.545867919922003</v>
      </c>
      <c r="Y4" s="7">
        <v>92.697776794434006</v>
      </c>
      <c r="Z4" s="7">
        <v>92.806282043457003</v>
      </c>
      <c r="AA4" s="7">
        <v>92.91478729248</v>
      </c>
      <c r="AB4" s="7">
        <v>93.03197479248</v>
      </c>
      <c r="AC4" s="7">
        <v>93.079719543457003</v>
      </c>
      <c r="AD4" s="7">
        <v>93.218612670897997</v>
      </c>
      <c r="AE4" s="7">
        <v>93.279373168945</v>
      </c>
      <c r="AF4" s="8"/>
      <c r="AG4" s="6"/>
      <c r="AH4" s="9" t="s">
        <v>9</v>
      </c>
      <c r="AI4" s="10">
        <v>89.345634969075405</v>
      </c>
      <c r="AJ4" s="6"/>
      <c r="AK4" s="9" t="s">
        <v>9</v>
      </c>
      <c r="AL4" s="11">
        <v>87.063227081298805</v>
      </c>
      <c r="AM4" s="11">
        <v>88.380502319335903</v>
      </c>
      <c r="AN4" s="10">
        <v>92.593175506591606</v>
      </c>
    </row>
    <row r="5" spans="1:40" ht="13.5" customHeight="1" x14ac:dyDescent="0.25">
      <c r="A5" s="12" t="s">
        <v>11</v>
      </c>
      <c r="B5" s="7">
        <v>103.082036654156</v>
      </c>
      <c r="C5" s="7">
        <v>103.044239997863</v>
      </c>
      <c r="D5" s="7">
        <v>103.017656644187</v>
      </c>
      <c r="E5" s="7">
        <v>102.922713279725</v>
      </c>
      <c r="F5" s="7">
        <v>102.82740751902401</v>
      </c>
      <c r="G5" s="7">
        <v>102.732283274335</v>
      </c>
      <c r="H5" s="7">
        <v>102.63426462809301</v>
      </c>
      <c r="I5" s="7">
        <v>102.592490196228</v>
      </c>
      <c r="J5" s="7">
        <v>102.53697109222399</v>
      </c>
      <c r="K5" s="7">
        <v>102.568980852764</v>
      </c>
      <c r="L5" s="7">
        <v>102.636796951295</v>
      </c>
      <c r="M5" s="7">
        <v>102.79774792988999</v>
      </c>
      <c r="N5" s="7">
        <v>102.93085130055999</v>
      </c>
      <c r="O5" s="7">
        <v>103.118567148845</v>
      </c>
      <c r="P5" s="7">
        <v>103.359633763632</v>
      </c>
      <c r="Q5" s="7">
        <v>103.7128238678</v>
      </c>
      <c r="R5" s="7">
        <v>104.143416086833</v>
      </c>
      <c r="S5" s="7">
        <v>104.64159075419199</v>
      </c>
      <c r="T5" s="7">
        <v>105.144932746888</v>
      </c>
      <c r="U5" s="7">
        <v>105.659081776937</v>
      </c>
      <c r="V5" s="7">
        <v>106.093449592591</v>
      </c>
      <c r="W5" s="7">
        <v>106.432883898417</v>
      </c>
      <c r="X5" s="7">
        <v>106.77503585815499</v>
      </c>
      <c r="Y5" s="7">
        <v>107.090429306031</v>
      </c>
      <c r="Z5" s="7">
        <v>107.38593006134001</v>
      </c>
      <c r="AA5" s="7">
        <v>107.653760910035</v>
      </c>
      <c r="AB5" s="7">
        <v>107.86498769124501</v>
      </c>
      <c r="AC5" s="7">
        <v>108.046917597453</v>
      </c>
      <c r="AD5" s="7">
        <v>108.147467613221</v>
      </c>
      <c r="AE5" s="7">
        <v>108.206604639689</v>
      </c>
      <c r="AF5" s="8"/>
      <c r="AG5" s="6"/>
      <c r="AH5" s="9" t="s">
        <v>9</v>
      </c>
      <c r="AI5" s="10">
        <v>104.660065121122</v>
      </c>
      <c r="AJ5" s="6"/>
      <c r="AK5" s="9" t="s">
        <v>9</v>
      </c>
      <c r="AL5" s="11">
        <v>102.79590441386</v>
      </c>
      <c r="AM5" s="11">
        <v>103.814544232687</v>
      </c>
      <c r="AN5" s="10">
        <v>107.369746716818</v>
      </c>
    </row>
    <row r="6" spans="1:40" ht="13.5" customHeight="1" x14ac:dyDescent="0.25">
      <c r="A6" s="1" t="s">
        <v>12</v>
      </c>
      <c r="B6" s="13" t="s">
        <v>13</v>
      </c>
      <c r="C6" s="7">
        <v>-3.7796656292897503E-2</v>
      </c>
      <c r="D6" s="7">
        <v>-2.6583353675817999E-2</v>
      </c>
      <c r="E6" s="7">
        <v>-9.4943364462125104E-2</v>
      </c>
      <c r="F6" s="7">
        <v>-9.5305760701222694E-2</v>
      </c>
      <c r="G6" s="7">
        <v>-9.51242446892024E-2</v>
      </c>
      <c r="H6" s="7">
        <v>-9.8018646241683896E-2</v>
      </c>
      <c r="I6" s="7">
        <v>-4.1774431864922697E-2</v>
      </c>
      <c r="J6" s="7">
        <v>-5.5519104003792598E-2</v>
      </c>
      <c r="K6" s="7">
        <v>3.2009760539580198E-2</v>
      </c>
      <c r="L6" s="7">
        <v>6.7816098531238794E-2</v>
      </c>
      <c r="M6" s="7">
        <v>0.16095097859545099</v>
      </c>
      <c r="N6" s="7">
        <v>0.13310337066914699</v>
      </c>
      <c r="O6" s="7">
        <v>0.18771584828542101</v>
      </c>
      <c r="P6" s="7">
        <v>0.24106661478748501</v>
      </c>
      <c r="Q6" s="7">
        <v>0.35319010416708402</v>
      </c>
      <c r="R6" s="7">
        <v>0.43059221903376999</v>
      </c>
      <c r="S6" s="7">
        <v>0.49817466735872501</v>
      </c>
      <c r="T6" s="7">
        <v>0.50334199269586599</v>
      </c>
      <c r="U6" s="7">
        <v>0.51414903004874202</v>
      </c>
      <c r="V6" s="7">
        <v>0.43436781565416999</v>
      </c>
      <c r="W6" s="7">
        <v>0.33943430582580397</v>
      </c>
      <c r="X6" s="7">
        <v>0.34215195973837398</v>
      </c>
      <c r="Y6" s="7">
        <v>0.31539344787580598</v>
      </c>
      <c r="Z6" s="7">
        <v>0.29550075530876502</v>
      </c>
      <c r="AA6" s="7">
        <v>0.26783084869496998</v>
      </c>
      <c r="AB6" s="7">
        <v>0.21122678121003</v>
      </c>
      <c r="AC6" s="7">
        <v>0.18192990620872301</v>
      </c>
      <c r="AD6" s="7">
        <v>0.100550015767965</v>
      </c>
      <c r="AE6" s="7">
        <v>5.9137026467865901E-2</v>
      </c>
      <c r="AF6" s="8"/>
      <c r="AG6" s="6"/>
      <c r="AH6" s="9" t="s">
        <v>9</v>
      </c>
      <c r="AI6" s="10">
        <v>0.176709240880459</v>
      </c>
      <c r="AJ6" s="6"/>
      <c r="AK6" s="9" t="s">
        <v>9</v>
      </c>
      <c r="AL6" s="11">
        <v>-5.7006200154676098E-2</v>
      </c>
      <c r="AM6" s="11">
        <v>0.30901009241729299</v>
      </c>
      <c r="AN6" s="10">
        <v>0.25475228627524699</v>
      </c>
    </row>
    <row r="7" spans="1:40" ht="13.5" customHeight="1" x14ac:dyDescent="0.25">
      <c r="A7" s="1" t="s">
        <v>14</v>
      </c>
      <c r="B7" s="7">
        <v>87.567567507425906</v>
      </c>
      <c r="C7" s="7">
        <v>87.108402252197095</v>
      </c>
      <c r="D7" s="7">
        <v>86.996459643045895</v>
      </c>
      <c r="E7" s="7">
        <v>87.6682984034219</v>
      </c>
      <c r="F7" s="7">
        <v>87.909183184305704</v>
      </c>
      <c r="G7" s="7">
        <v>87.982787132263098</v>
      </c>
      <c r="H7" s="7">
        <v>88.160557746887207</v>
      </c>
      <c r="I7" s="7">
        <v>87.919310887654703</v>
      </c>
      <c r="J7" s="7">
        <v>87.951862653096498</v>
      </c>
      <c r="K7" s="7">
        <v>87.835218111673896</v>
      </c>
      <c r="L7" s="7">
        <v>88.006659825642799</v>
      </c>
      <c r="M7" s="7">
        <v>87.839377403259206</v>
      </c>
      <c r="N7" s="7">
        <v>88.432187080383201</v>
      </c>
      <c r="O7" s="7">
        <v>88.692061106363994</v>
      </c>
      <c r="P7" s="7">
        <v>88.708156903584793</v>
      </c>
      <c r="Q7" s="7">
        <v>88.462388674417994</v>
      </c>
      <c r="R7" s="7">
        <v>88.355327924092606</v>
      </c>
      <c r="S7" s="7">
        <v>88.585363070170104</v>
      </c>
      <c r="T7" s="7">
        <v>88.883032798766905</v>
      </c>
      <c r="U7" s="7">
        <v>89.712207794189197</v>
      </c>
      <c r="V7" s="7">
        <v>91.052629470824996</v>
      </c>
      <c r="W7" s="7">
        <v>92.187612533569094</v>
      </c>
      <c r="X7" s="7">
        <v>92.623810450235794</v>
      </c>
      <c r="Y7" s="7">
        <v>92.732498486836704</v>
      </c>
      <c r="Z7" s="7">
        <v>92.852398554483997</v>
      </c>
      <c r="AA7" s="7">
        <v>92.910992940266894</v>
      </c>
      <c r="AB7" s="7">
        <v>92.999967892964506</v>
      </c>
      <c r="AC7" s="7">
        <v>93.095091819763098</v>
      </c>
      <c r="AD7" s="7">
        <v>93.2050457000731</v>
      </c>
      <c r="AE7" s="7">
        <v>93.2802775700886</v>
      </c>
      <c r="AF7" s="8"/>
      <c r="AG7" s="6"/>
      <c r="AH7" s="9" t="s">
        <v>9</v>
      </c>
      <c r="AI7" s="10">
        <v>89.657224517398305</v>
      </c>
      <c r="AJ7" s="6"/>
      <c r="AK7" s="9" t="s">
        <v>9</v>
      </c>
      <c r="AL7" s="11">
        <v>87.709964752197195</v>
      </c>
      <c r="AM7" s="11">
        <v>88.567676258087104</v>
      </c>
      <c r="AN7" s="10">
        <v>92.694032541910701</v>
      </c>
    </row>
    <row r="8" spans="1:40" ht="13.5" customHeight="1" x14ac:dyDescent="0.25">
      <c r="A8" s="1" t="s">
        <v>15</v>
      </c>
      <c r="B8" s="7">
        <v>88.431282043457003</v>
      </c>
      <c r="C8" s="7">
        <v>87.771560668945</v>
      </c>
      <c r="D8" s="7">
        <v>87.619651794434006</v>
      </c>
      <c r="E8" s="7">
        <v>88.583190917969006</v>
      </c>
      <c r="F8" s="7">
        <v>88.596214294434006</v>
      </c>
      <c r="G8" s="7">
        <v>88.518089294434006</v>
      </c>
      <c r="H8" s="7">
        <v>88.704719543457003</v>
      </c>
      <c r="I8" s="7">
        <v>88.639617919922003</v>
      </c>
      <c r="J8" s="7">
        <v>88.21427154541</v>
      </c>
      <c r="K8" s="7">
        <v>88.062362670897997</v>
      </c>
      <c r="L8" s="7">
        <v>88.570175170897997</v>
      </c>
      <c r="M8" s="7">
        <v>88.400901794434006</v>
      </c>
      <c r="N8" s="7">
        <v>88.626594543457003</v>
      </c>
      <c r="O8" s="7">
        <v>88.726425170897997</v>
      </c>
      <c r="P8" s="7">
        <v>88.72208404541</v>
      </c>
      <c r="Q8" s="7">
        <v>88.748123168945</v>
      </c>
      <c r="R8" s="7">
        <v>88.626594543457003</v>
      </c>
      <c r="S8" s="7">
        <v>88.626594543457003</v>
      </c>
      <c r="T8" s="7">
        <v>89.32103729248</v>
      </c>
      <c r="U8" s="7">
        <v>90.232498168945</v>
      </c>
      <c r="V8" s="7">
        <v>91.894821166992003</v>
      </c>
      <c r="W8" s="7">
        <v>92.58927154541</v>
      </c>
      <c r="X8" s="7">
        <v>92.710800170897997</v>
      </c>
      <c r="Y8" s="7">
        <v>92.793258666992003</v>
      </c>
      <c r="Z8" s="7">
        <v>92.923469543457003</v>
      </c>
      <c r="AA8" s="7">
        <v>92.95384979248</v>
      </c>
      <c r="AB8" s="7">
        <v>93.05802154541</v>
      </c>
      <c r="AC8" s="7">
        <v>93.153503417969006</v>
      </c>
      <c r="AD8" s="7">
        <v>93.262008666992003</v>
      </c>
      <c r="AE8" s="7">
        <v>93.34447479248</v>
      </c>
      <c r="AF8" s="8"/>
      <c r="AG8" s="6"/>
      <c r="AH8" s="9" t="s">
        <v>16</v>
      </c>
      <c r="AI8" s="10">
        <v>93.34447479248</v>
      </c>
      <c r="AJ8" s="6"/>
      <c r="AK8" s="9" t="s">
        <v>16</v>
      </c>
      <c r="AL8" s="11">
        <v>88.704719543457003</v>
      </c>
      <c r="AM8" s="11">
        <v>90.232498168945</v>
      </c>
      <c r="AN8" s="10">
        <v>93.34447479248</v>
      </c>
    </row>
    <row r="9" spans="1:40" ht="13.5" customHeight="1" x14ac:dyDescent="0.25">
      <c r="A9" s="1" t="s">
        <v>17</v>
      </c>
      <c r="B9" s="7">
        <v>86.855758666992003</v>
      </c>
      <c r="C9" s="7">
        <v>86.595344543457003</v>
      </c>
      <c r="D9" s="7">
        <v>86.499862670897997</v>
      </c>
      <c r="E9" s="7">
        <v>86.54759979248</v>
      </c>
      <c r="F9" s="7">
        <v>86.990310668945</v>
      </c>
      <c r="G9" s="7">
        <v>87.012008666992003</v>
      </c>
      <c r="H9" s="7">
        <v>87.13353729248</v>
      </c>
      <c r="I9" s="7">
        <v>86.942565917969006</v>
      </c>
      <c r="J9" s="7">
        <v>87.637008666992003</v>
      </c>
      <c r="K9" s="7">
        <v>87.337532043457003</v>
      </c>
      <c r="L9" s="7">
        <v>86.959930419922003</v>
      </c>
      <c r="M9" s="7">
        <v>86.920867919922003</v>
      </c>
      <c r="N9" s="7">
        <v>87.51114654541</v>
      </c>
      <c r="O9" s="7">
        <v>88.626594543457003</v>
      </c>
      <c r="P9" s="7">
        <v>88.68302154541</v>
      </c>
      <c r="Q9" s="7">
        <v>88.140487670897997</v>
      </c>
      <c r="R9" s="7">
        <v>88.040657043457003</v>
      </c>
      <c r="S9" s="7">
        <v>88.48770904541</v>
      </c>
      <c r="T9" s="7">
        <v>88.61791229248</v>
      </c>
      <c r="U9" s="7">
        <v>89.351425170897997</v>
      </c>
      <c r="V9" s="7">
        <v>90.25853729248</v>
      </c>
      <c r="W9" s="7">
        <v>91.86009979248</v>
      </c>
      <c r="X9" s="7">
        <v>92.537185668945</v>
      </c>
      <c r="Y9" s="7">
        <v>92.693435668945</v>
      </c>
      <c r="Z9" s="7">
        <v>92.78458404541</v>
      </c>
      <c r="AA9" s="7">
        <v>92.849685668945</v>
      </c>
      <c r="AB9" s="7">
        <v>92.923469543457003</v>
      </c>
      <c r="AC9" s="7">
        <v>93.040657043457003</v>
      </c>
      <c r="AD9" s="7">
        <v>93.11009979248</v>
      </c>
      <c r="AE9" s="7">
        <v>93.196907043457003</v>
      </c>
      <c r="AF9" s="8"/>
      <c r="AG9" s="6"/>
      <c r="AH9" s="9" t="s">
        <v>18</v>
      </c>
      <c r="AI9" s="10">
        <v>86.499862670897997</v>
      </c>
      <c r="AJ9" s="6"/>
      <c r="AK9" s="9" t="s">
        <v>18</v>
      </c>
      <c r="AL9" s="11">
        <v>86.499862670897997</v>
      </c>
      <c r="AM9" s="11">
        <v>86.920867919922003</v>
      </c>
      <c r="AN9" s="10">
        <v>90.25853729248</v>
      </c>
    </row>
    <row r="10" spans="1:40" ht="13.5" customHeight="1" x14ac:dyDescent="0.25">
      <c r="A10" s="1" t="s">
        <v>19</v>
      </c>
      <c r="B10" s="7">
        <v>15.514469146729899</v>
      </c>
      <c r="C10" s="7">
        <v>15.9358377456658</v>
      </c>
      <c r="D10" s="7">
        <v>16.0211970011412</v>
      </c>
      <c r="E10" s="7">
        <v>15.254414876303001</v>
      </c>
      <c r="F10" s="7">
        <v>14.918224334718101</v>
      </c>
      <c r="G10" s="7">
        <v>14.749496142071401</v>
      </c>
      <c r="H10" s="7">
        <v>14.4737068812057</v>
      </c>
      <c r="I10" s="7">
        <v>14.6731793085732</v>
      </c>
      <c r="J10" s="7">
        <v>14.585108439127699</v>
      </c>
      <c r="K10" s="7">
        <v>14.7337627410898</v>
      </c>
      <c r="L10" s="7">
        <v>14.630137125652199</v>
      </c>
      <c r="M10" s="7">
        <v>14.958370526631199</v>
      </c>
      <c r="N10" s="7">
        <v>14.4986642201764</v>
      </c>
      <c r="O10" s="7">
        <v>14.426506042481</v>
      </c>
      <c r="P10" s="7">
        <v>14.651476860047699</v>
      </c>
      <c r="Q10" s="7">
        <v>15.250435193381501</v>
      </c>
      <c r="R10" s="7">
        <v>15.788088162740699</v>
      </c>
      <c r="S10" s="7">
        <v>16.056227684022002</v>
      </c>
      <c r="T10" s="7">
        <v>16.261899948120998</v>
      </c>
      <c r="U10" s="7">
        <v>15.9468739827474</v>
      </c>
      <c r="V10" s="7">
        <v>15.040820121765799</v>
      </c>
      <c r="W10" s="7">
        <v>14.2452713648475</v>
      </c>
      <c r="X10" s="7">
        <v>14.151225407919201</v>
      </c>
      <c r="Y10" s="7">
        <v>14.3579308191942</v>
      </c>
      <c r="Z10" s="7">
        <v>14.533531506855599</v>
      </c>
      <c r="AA10" s="7">
        <v>14.7427679697677</v>
      </c>
      <c r="AB10" s="7">
        <v>14.8650197982801</v>
      </c>
      <c r="AC10" s="7">
        <v>14.9518257776902</v>
      </c>
      <c r="AD10" s="7">
        <v>14.9424219131482</v>
      </c>
      <c r="AE10" s="7">
        <v>14.9263270696006</v>
      </c>
      <c r="AF10" s="8"/>
      <c r="AG10" s="6"/>
      <c r="AH10" s="9" t="s">
        <v>9</v>
      </c>
      <c r="AI10" s="10">
        <v>15.0028406037232</v>
      </c>
      <c r="AJ10" s="6"/>
      <c r="AK10" s="9" t="s">
        <v>9</v>
      </c>
      <c r="AL10" s="11">
        <v>15.0859396616626</v>
      </c>
      <c r="AM10" s="11">
        <v>15.2468679746001</v>
      </c>
      <c r="AN10" s="10">
        <v>14.675714174906901</v>
      </c>
    </row>
    <row r="11" spans="1:40" ht="13.5" customHeight="1" x14ac:dyDescent="0.25">
      <c r="A11" s="1" t="s">
        <v>20</v>
      </c>
      <c r="B11" s="7">
        <v>15.242218125151799</v>
      </c>
      <c r="C11" s="7">
        <v>15.717312148350199</v>
      </c>
      <c r="D11" s="7">
        <v>15.8016978045582</v>
      </c>
      <c r="E11" s="7">
        <v>14.955006185086299</v>
      </c>
      <c r="F11" s="7">
        <v>14.6836751320748</v>
      </c>
      <c r="G11" s="7">
        <v>14.4909335107437</v>
      </c>
      <c r="H11" s="7">
        <v>14.223989201865701</v>
      </c>
      <c r="I11" s="7">
        <v>14.469121500237501</v>
      </c>
      <c r="J11" s="7">
        <v>14.359787210391</v>
      </c>
      <c r="K11" s="7">
        <v>14.4676955560801</v>
      </c>
      <c r="L11" s="7">
        <v>14.2804941304453</v>
      </c>
      <c r="M11" s="7">
        <v>14.662697238578099</v>
      </c>
      <c r="N11" s="7">
        <v>14.135847042639799</v>
      </c>
      <c r="O11" s="7">
        <v>14.0570911237152</v>
      </c>
      <c r="P11" s="7">
        <v>14.2939081291481</v>
      </c>
      <c r="Q11" s="7">
        <v>14.8740321438513</v>
      </c>
      <c r="R11" s="7">
        <v>15.490838070401001</v>
      </c>
      <c r="S11" s="7">
        <v>15.735179779995599</v>
      </c>
      <c r="T11" s="7">
        <v>15.888708301510301</v>
      </c>
      <c r="U11" s="7">
        <v>15.5756363280658</v>
      </c>
      <c r="V11" s="7">
        <v>14.6780785180203</v>
      </c>
      <c r="W11" s="7">
        <v>13.959416503729701</v>
      </c>
      <c r="X11" s="7">
        <v>13.8862006618492</v>
      </c>
      <c r="Y11" s="7">
        <v>14.105366186362099</v>
      </c>
      <c r="Z11" s="7">
        <v>14.272127983284401</v>
      </c>
      <c r="AA11" s="7">
        <v>14.519638636435401</v>
      </c>
      <c r="AB11" s="7">
        <v>14.580709949063101</v>
      </c>
      <c r="AC11" s="7">
        <v>14.6150192612831</v>
      </c>
      <c r="AD11" s="7">
        <v>14.5674200611709</v>
      </c>
      <c r="AE11" s="7">
        <v>14.520975454738799</v>
      </c>
      <c r="AF11" s="8"/>
      <c r="AG11" s="6"/>
      <c r="AH11" s="9" t="s">
        <v>9</v>
      </c>
      <c r="AI11" s="10">
        <v>14.7036940626276</v>
      </c>
      <c r="AJ11" s="6"/>
      <c r="AK11" s="9" t="s">
        <v>9</v>
      </c>
      <c r="AL11" s="11">
        <v>14.8411436374539</v>
      </c>
      <c r="AM11" s="11">
        <v>14.8994432288351</v>
      </c>
      <c r="AN11" s="10">
        <v>14.370495321593699</v>
      </c>
    </row>
    <row r="12" spans="1:40" ht="13.5" customHeight="1" x14ac:dyDescent="0.25">
      <c r="A12" s="1" t="s">
        <v>21</v>
      </c>
      <c r="B12" s="7">
        <v>14.937373762648701</v>
      </c>
      <c r="C12" s="7">
        <v>15.4029659053832</v>
      </c>
      <c r="D12" s="7">
        <v>15.485663848467</v>
      </c>
      <c r="E12" s="7">
        <v>14.655906061384499</v>
      </c>
      <c r="F12" s="7">
        <v>14.3900016294333</v>
      </c>
      <c r="G12" s="7">
        <v>14.201114840528801</v>
      </c>
      <c r="H12" s="7">
        <v>13.9395094178284</v>
      </c>
      <c r="I12" s="7">
        <v>14.179739070232801</v>
      </c>
      <c r="J12" s="7">
        <v>14.0725914661831</v>
      </c>
      <c r="K12" s="7">
        <v>14.1783416449585</v>
      </c>
      <c r="L12" s="7">
        <v>13.994884247836399</v>
      </c>
      <c r="M12" s="7">
        <v>14.3694432938065</v>
      </c>
      <c r="N12" s="7">
        <v>13.853130101787</v>
      </c>
      <c r="O12" s="7">
        <v>13.7759493012409</v>
      </c>
      <c r="P12" s="7">
        <v>14.0080299665652</v>
      </c>
      <c r="Q12" s="7">
        <v>14.576551500974301</v>
      </c>
      <c r="R12" s="7">
        <v>15.181021308993</v>
      </c>
      <c r="S12" s="7">
        <v>15.420476184395699</v>
      </c>
      <c r="T12" s="7">
        <v>15.570934135480099</v>
      </c>
      <c r="U12" s="7">
        <v>15.264123601504499</v>
      </c>
      <c r="V12" s="7">
        <v>14.3845169476599</v>
      </c>
      <c r="W12" s="7">
        <v>13.680228173655101</v>
      </c>
      <c r="X12" s="7">
        <v>13.608476648612299</v>
      </c>
      <c r="Y12" s="7">
        <v>13.8232588626348</v>
      </c>
      <c r="Z12" s="7">
        <v>13.986685423618701</v>
      </c>
      <c r="AA12" s="7">
        <v>14.2292458637067</v>
      </c>
      <c r="AB12" s="7">
        <v>14.289095750081801</v>
      </c>
      <c r="AC12" s="7">
        <v>14.3227188760575</v>
      </c>
      <c r="AD12" s="7">
        <v>14.276071659947499</v>
      </c>
      <c r="AE12" s="7">
        <v>14.230555945643999</v>
      </c>
      <c r="AF12" s="8"/>
      <c r="AG12" s="6"/>
      <c r="AH12" s="9" t="s">
        <v>9</v>
      </c>
      <c r="AI12" s="10">
        <v>14.409620181375001</v>
      </c>
      <c r="AJ12" s="6"/>
      <c r="AK12" s="9" t="s">
        <v>9</v>
      </c>
      <c r="AL12" s="11">
        <v>14.5443207647048</v>
      </c>
      <c r="AM12" s="11">
        <v>14.6014543642584</v>
      </c>
      <c r="AN12" s="10">
        <v>14.083085415161801</v>
      </c>
    </row>
    <row r="13" spans="1:40" ht="13.5" customHeight="1" x14ac:dyDescent="0.25">
      <c r="A13" s="1" t="s">
        <v>22</v>
      </c>
      <c r="B13" s="7">
        <v>0.272251021578158</v>
      </c>
      <c r="C13" s="7">
        <v>0.21852559731563601</v>
      </c>
      <c r="D13" s="7">
        <v>0.219499196582991</v>
      </c>
      <c r="E13" s="7">
        <v>0.29940869121679198</v>
      </c>
      <c r="F13" s="7">
        <v>0.234549202643244</v>
      </c>
      <c r="G13" s="7">
        <v>0.25856263132773999</v>
      </c>
      <c r="H13" s="7">
        <v>0.24971767934002301</v>
      </c>
      <c r="I13" s="7">
        <v>0.20405780833569301</v>
      </c>
      <c r="J13" s="7">
        <v>0.225321228736757</v>
      </c>
      <c r="K13" s="7">
        <v>0.26606718500972698</v>
      </c>
      <c r="L13" s="7">
        <v>0.349642995206845</v>
      </c>
      <c r="M13" s="7">
        <v>0.295673288053109</v>
      </c>
      <c r="N13" s="7">
        <v>0.36281717753655601</v>
      </c>
      <c r="O13" s="7">
        <v>0.369414918765884</v>
      </c>
      <c r="P13" s="7">
        <v>0.35756873089953201</v>
      </c>
      <c r="Q13" s="7">
        <v>0.37640304953023801</v>
      </c>
      <c r="R13" s="7">
        <v>0.29725009233970101</v>
      </c>
      <c r="S13" s="7">
        <v>0.32104790402632799</v>
      </c>
      <c r="T13" s="7">
        <v>0.37319164661069798</v>
      </c>
      <c r="U13" s="7">
        <v>0.37123765468159398</v>
      </c>
      <c r="V13" s="7">
        <v>0.36274160374549902</v>
      </c>
      <c r="W13" s="7">
        <v>0.28585486111785802</v>
      </c>
      <c r="X13" s="7">
        <v>0.26502474606999199</v>
      </c>
      <c r="Y13" s="7">
        <v>0.252564632832108</v>
      </c>
      <c r="Z13" s="7">
        <v>0.261403523571204</v>
      </c>
      <c r="AA13" s="7">
        <v>0.22312933333227</v>
      </c>
      <c r="AB13" s="7">
        <v>0.28430984921696401</v>
      </c>
      <c r="AC13" s="7">
        <v>0.33680651640708797</v>
      </c>
      <c r="AD13" s="7">
        <v>0.37500185197727298</v>
      </c>
      <c r="AE13" s="7">
        <v>0.40535161486177601</v>
      </c>
      <c r="AF13" s="8"/>
      <c r="AG13" s="6"/>
      <c r="AH13" s="9" t="s">
        <v>9</v>
      </c>
      <c r="AI13" s="10">
        <v>0.29914654109564298</v>
      </c>
      <c r="AJ13" s="6"/>
      <c r="AK13" s="9" t="s">
        <v>9</v>
      </c>
      <c r="AL13" s="11">
        <v>0.24479602420867599</v>
      </c>
      <c r="AM13" s="11">
        <v>0.347424745765048</v>
      </c>
      <c r="AN13" s="10">
        <v>0.30521885331320298</v>
      </c>
    </row>
    <row r="14" spans="1:40" ht="13.5" customHeight="1" x14ac:dyDescent="0.25">
      <c r="A14" s="1" t="s">
        <v>23</v>
      </c>
      <c r="B14" s="13">
        <v>4539</v>
      </c>
      <c r="C14" s="13">
        <v>3711</v>
      </c>
      <c r="D14" s="13">
        <v>3690</v>
      </c>
      <c r="E14" s="13">
        <v>6215</v>
      </c>
      <c r="F14" s="13">
        <v>6217</v>
      </c>
      <c r="G14" s="13">
        <v>6141</v>
      </c>
      <c r="H14" s="13">
        <v>6163</v>
      </c>
      <c r="I14" s="13">
        <v>5768</v>
      </c>
      <c r="J14" s="13">
        <v>5941</v>
      </c>
      <c r="K14" s="13">
        <v>5899</v>
      </c>
      <c r="L14" s="13">
        <v>5998</v>
      </c>
      <c r="M14" s="13">
        <v>5916</v>
      </c>
      <c r="N14" s="13">
        <v>8367</v>
      </c>
      <c r="O14" s="13">
        <v>8708</v>
      </c>
      <c r="P14" s="13">
        <v>8877</v>
      </c>
      <c r="Q14" s="13">
        <v>8455</v>
      </c>
      <c r="R14" s="13">
        <v>8640</v>
      </c>
      <c r="S14" s="13">
        <v>9878</v>
      </c>
      <c r="T14" s="13">
        <v>10030</v>
      </c>
      <c r="U14" s="13">
        <v>10035</v>
      </c>
      <c r="V14" s="13">
        <v>10443</v>
      </c>
      <c r="W14" s="13">
        <v>9594</v>
      </c>
      <c r="X14" s="13">
        <v>9313</v>
      </c>
      <c r="Y14" s="13">
        <v>9071</v>
      </c>
      <c r="Z14" s="13">
        <v>9258</v>
      </c>
      <c r="AA14" s="13">
        <v>9357</v>
      </c>
      <c r="AB14" s="13">
        <v>9827</v>
      </c>
      <c r="AC14" s="13">
        <v>9956</v>
      </c>
      <c r="AD14" s="13">
        <v>10570</v>
      </c>
      <c r="AE14" s="13">
        <v>10910</v>
      </c>
      <c r="AF14" s="8"/>
      <c r="AG14" s="6"/>
      <c r="AH14" s="9" t="s">
        <v>9</v>
      </c>
      <c r="AI14" s="10">
        <v>7916.2333333333299</v>
      </c>
      <c r="AJ14" s="6"/>
      <c r="AK14" s="9" t="s">
        <v>9</v>
      </c>
      <c r="AL14" s="11">
        <v>5428.4</v>
      </c>
      <c r="AM14" s="11">
        <v>8490.4</v>
      </c>
      <c r="AN14" s="10">
        <v>9829.9</v>
      </c>
    </row>
    <row r="15" spans="1:40" ht="13.5" customHeight="1" x14ac:dyDescent="0.25">
      <c r="A15" s="1" t="s">
        <v>24</v>
      </c>
      <c r="B15" s="7">
        <v>189.125</v>
      </c>
      <c r="C15" s="7">
        <v>154.625</v>
      </c>
      <c r="D15" s="7">
        <v>153.75</v>
      </c>
      <c r="E15" s="7">
        <v>258.95833333333297</v>
      </c>
      <c r="F15" s="7">
        <v>259.04166666666703</v>
      </c>
      <c r="G15" s="7">
        <v>255.875</v>
      </c>
      <c r="H15" s="7">
        <v>256.79166666666703</v>
      </c>
      <c r="I15" s="7">
        <v>240.333333333333</v>
      </c>
      <c r="J15" s="7">
        <v>247.541666666667</v>
      </c>
      <c r="K15" s="7">
        <v>245.791666666667</v>
      </c>
      <c r="L15" s="7">
        <v>249.916666666667</v>
      </c>
      <c r="M15" s="7">
        <v>246.5</v>
      </c>
      <c r="N15" s="7">
        <v>348.625</v>
      </c>
      <c r="O15" s="7">
        <v>362.83333333333297</v>
      </c>
      <c r="P15" s="7">
        <v>369.875</v>
      </c>
      <c r="Q15" s="7">
        <v>352.29166666666703</v>
      </c>
      <c r="R15" s="13">
        <v>360</v>
      </c>
      <c r="S15" s="7">
        <v>411.58333333333297</v>
      </c>
      <c r="T15" s="7">
        <v>417.91666666666703</v>
      </c>
      <c r="U15" s="7">
        <v>418.125</v>
      </c>
      <c r="V15" s="7">
        <v>435.125</v>
      </c>
      <c r="W15" s="7">
        <v>399.75</v>
      </c>
      <c r="X15" s="7">
        <v>388.04166666666703</v>
      </c>
      <c r="Y15" s="7">
        <v>377.95833333333297</v>
      </c>
      <c r="Z15" s="7">
        <v>385.75</v>
      </c>
      <c r="AA15" s="7">
        <v>389.875</v>
      </c>
      <c r="AB15" s="7">
        <v>409.45833333333297</v>
      </c>
      <c r="AC15" s="7">
        <v>414.83333333333297</v>
      </c>
      <c r="AD15" s="7">
        <v>440.41666666666703</v>
      </c>
      <c r="AE15" s="7">
        <v>454.58333333333297</v>
      </c>
      <c r="AF15" s="8"/>
      <c r="AG15" s="6"/>
      <c r="AH15" s="9" t="s">
        <v>9</v>
      </c>
      <c r="AI15" s="10">
        <v>329.84305555555602</v>
      </c>
      <c r="AJ15" s="6"/>
      <c r="AK15" s="9" t="s">
        <v>9</v>
      </c>
      <c r="AL15" s="11">
        <v>226.183333333333</v>
      </c>
      <c r="AM15" s="11">
        <v>353.76666666666699</v>
      </c>
      <c r="AN15" s="10">
        <v>409.57916666666699</v>
      </c>
    </row>
    <row r="16" spans="1:40" ht="13.5" customHeight="1" x14ac:dyDescent="0.25">
      <c r="A16" s="1" t="s">
        <v>25</v>
      </c>
      <c r="B16" s="7">
        <v>404.11581420898</v>
      </c>
      <c r="C16" s="7">
        <v>308.97913360594998</v>
      </c>
      <c r="D16" s="7">
        <v>306.09181213378997</v>
      </c>
      <c r="E16" s="7">
        <v>374.35658264160998</v>
      </c>
      <c r="F16" s="7">
        <v>372.73194885253997</v>
      </c>
      <c r="G16" s="7">
        <v>362.59925842285003</v>
      </c>
      <c r="H16" s="7">
        <v>362.57456970214997</v>
      </c>
      <c r="I16" s="7">
        <v>362.36148071289</v>
      </c>
      <c r="J16" s="7">
        <v>346.83203125001</v>
      </c>
      <c r="K16" s="7">
        <v>278.81462097167997</v>
      </c>
      <c r="L16" s="7">
        <v>343.51342773437</v>
      </c>
      <c r="M16" s="7">
        <v>343.56669616699003</v>
      </c>
      <c r="N16" s="7">
        <v>355.70182800292997</v>
      </c>
      <c r="O16" s="7">
        <v>363.81144714355003</v>
      </c>
      <c r="P16" s="7">
        <v>370.45655822753997</v>
      </c>
      <c r="Q16" s="7">
        <v>388.65950012207003</v>
      </c>
      <c r="R16" s="7">
        <v>400.00199890136997</v>
      </c>
      <c r="S16" s="7">
        <v>415.90159606933997</v>
      </c>
      <c r="T16" s="7">
        <v>418.79539489746003</v>
      </c>
      <c r="U16" s="7">
        <v>419.46716308594</v>
      </c>
      <c r="V16" s="7">
        <v>437.15498352050997</v>
      </c>
      <c r="W16" s="7">
        <v>437.76765441894003</v>
      </c>
      <c r="X16" s="7">
        <v>398.36907958985</v>
      </c>
      <c r="Y16" s="7">
        <v>387.77830505371003</v>
      </c>
      <c r="Z16" s="7">
        <v>387.70613098144997</v>
      </c>
      <c r="AA16" s="7">
        <v>392.34710693359</v>
      </c>
      <c r="AB16" s="7">
        <v>414.48637390136003</v>
      </c>
      <c r="AC16" s="7">
        <v>417.37286376953</v>
      </c>
      <c r="AD16" s="7">
        <v>442.52703857421</v>
      </c>
      <c r="AE16" s="7">
        <v>456.61795043945</v>
      </c>
      <c r="AF16" s="8"/>
      <c r="AG16" s="6"/>
      <c r="AH16" s="9" t="s">
        <v>16</v>
      </c>
      <c r="AI16" s="10">
        <v>456.61795043945</v>
      </c>
      <c r="AJ16" s="6"/>
      <c r="AK16" s="9" t="s">
        <v>16</v>
      </c>
      <c r="AL16" s="11">
        <v>404.11581420898</v>
      </c>
      <c r="AM16" s="11">
        <v>419.46716308594</v>
      </c>
      <c r="AN16" s="10">
        <v>456.61795043945</v>
      </c>
    </row>
    <row r="17" spans="1:40" ht="13.5" customHeight="1" x14ac:dyDescent="0.25">
      <c r="A17" s="1" t="s">
        <v>26</v>
      </c>
      <c r="B17" s="7">
        <v>49.831102371215998</v>
      </c>
      <c r="C17" s="7">
        <v>49.892741203307999</v>
      </c>
      <c r="D17" s="7">
        <v>59.814346313476001</v>
      </c>
      <c r="E17" s="7">
        <v>69.718002319335994</v>
      </c>
      <c r="F17" s="7">
        <v>69.520750045777007</v>
      </c>
      <c r="G17" s="7">
        <v>69.320590972900007</v>
      </c>
      <c r="H17" s="7">
        <v>64.848600387573001</v>
      </c>
      <c r="I17" s="7">
        <v>49.837778091430998</v>
      </c>
      <c r="J17" s="7">
        <v>132.361316680908</v>
      </c>
      <c r="K17" s="7">
        <v>130.10985565185601</v>
      </c>
      <c r="L17" s="7">
        <v>49.92338180542</v>
      </c>
      <c r="M17" s="7">
        <v>49.840540885926004</v>
      </c>
      <c r="N17" s="7">
        <v>50.388090133666999</v>
      </c>
      <c r="O17" s="7">
        <v>354.84535217285003</v>
      </c>
      <c r="P17" s="7">
        <v>362.50242614746003</v>
      </c>
      <c r="Q17" s="7">
        <v>274.77662658691901</v>
      </c>
      <c r="R17" s="7">
        <v>282.08955383300503</v>
      </c>
      <c r="S17" s="7">
        <v>399.22770690917997</v>
      </c>
      <c r="T17" s="7">
        <v>414.68939208984</v>
      </c>
      <c r="U17" s="7">
        <v>416.96493530273</v>
      </c>
      <c r="V17" s="7">
        <v>417.78781127929</v>
      </c>
      <c r="W17" s="7">
        <v>396.72999572753997</v>
      </c>
      <c r="X17" s="7">
        <v>385.94055175782</v>
      </c>
      <c r="Y17" s="7">
        <v>376.09262084961</v>
      </c>
      <c r="Z17" s="7">
        <v>376.77990722656</v>
      </c>
      <c r="AA17" s="7">
        <v>386.47439575196</v>
      </c>
      <c r="AB17" s="7">
        <v>389.80665588378997</v>
      </c>
      <c r="AC17" s="7">
        <v>412.11782836914</v>
      </c>
      <c r="AD17" s="7">
        <v>414.64990234375</v>
      </c>
      <c r="AE17" s="7">
        <v>440.16702270508</v>
      </c>
      <c r="AF17" s="8"/>
      <c r="AG17" s="6"/>
      <c r="AH17" s="9" t="s">
        <v>18</v>
      </c>
      <c r="AI17" s="10">
        <v>49.831102371215998</v>
      </c>
      <c r="AJ17" s="6"/>
      <c r="AK17" s="9" t="s">
        <v>18</v>
      </c>
      <c r="AL17" s="11">
        <v>49.831102371215998</v>
      </c>
      <c r="AM17" s="11">
        <v>49.840540885926004</v>
      </c>
      <c r="AN17" s="10">
        <v>376.09262084961</v>
      </c>
    </row>
    <row r="18" spans="1:40" ht="13.5" customHeight="1" x14ac:dyDescent="0.25">
      <c r="A18" s="1" t="s">
        <v>27</v>
      </c>
      <c r="B18" s="7">
        <v>1432.9903054607701</v>
      </c>
      <c r="C18" s="7">
        <v>1141.0625831960199</v>
      </c>
      <c r="D18" s="7">
        <v>1123.5352310236401</v>
      </c>
      <c r="E18" s="7">
        <v>2069.8333739060299</v>
      </c>
      <c r="F18" s="7">
        <v>2072.7665626954699</v>
      </c>
      <c r="G18" s="7">
        <v>2073.59298894638</v>
      </c>
      <c r="H18" s="7">
        <v>2110.8987189482</v>
      </c>
      <c r="I18" s="7">
        <v>1968.9912815775001</v>
      </c>
      <c r="J18" s="7">
        <v>2004.6740754822999</v>
      </c>
      <c r="K18" s="7">
        <v>1961.2256356160599</v>
      </c>
      <c r="L18" s="7">
        <v>2039.80074855062</v>
      </c>
      <c r="M18" s="7">
        <v>1957.98094685263</v>
      </c>
      <c r="N18" s="7">
        <v>2845.7533905140999</v>
      </c>
      <c r="O18" s="7">
        <v>2990.8967954603099</v>
      </c>
      <c r="P18" s="7">
        <v>2988.5172294761501</v>
      </c>
      <c r="Q18" s="7">
        <v>2988.5172294761501</v>
      </c>
      <c r="R18" s="7">
        <v>2988.5172294761501</v>
      </c>
      <c r="S18" s="7">
        <v>2988.5172294761501</v>
      </c>
      <c r="T18" s="7">
        <v>2988.5172294761501</v>
      </c>
      <c r="U18" s="7">
        <v>2988.5172294761501</v>
      </c>
      <c r="V18" s="7">
        <v>2988.5172294761501</v>
      </c>
      <c r="W18" s="7">
        <v>3225.73435569514</v>
      </c>
      <c r="X18" s="7">
        <v>3265.8877435157601</v>
      </c>
      <c r="Y18" s="7">
        <v>3093.2235426002799</v>
      </c>
      <c r="Z18" s="7">
        <v>3113.61945123849</v>
      </c>
      <c r="AA18" s="7">
        <v>3087.5967810341599</v>
      </c>
      <c r="AB18" s="7">
        <v>3253.49190085696</v>
      </c>
      <c r="AC18" s="7">
        <v>3279.3952334836899</v>
      </c>
      <c r="AD18" s="7">
        <v>3570.2085582290902</v>
      </c>
      <c r="AE18" s="7">
        <v>3734.0555369026902</v>
      </c>
      <c r="AF18" s="8"/>
      <c r="AG18" s="6"/>
      <c r="AH18" s="9" t="s">
        <v>9</v>
      </c>
      <c r="AI18" s="10">
        <v>2611.2278782706398</v>
      </c>
      <c r="AJ18" s="6"/>
      <c r="AK18" s="9" t="s">
        <v>9</v>
      </c>
      <c r="AL18" s="11">
        <v>1795.9570756852399</v>
      </c>
      <c r="AM18" s="11">
        <v>2776.5535258234599</v>
      </c>
      <c r="AN18" s="10">
        <v>3261.1730333032401</v>
      </c>
    </row>
    <row r="19" spans="1:40" ht="13.5" customHeight="1" x14ac:dyDescent="0.25">
      <c r="A19" s="1" t="s">
        <v>28</v>
      </c>
      <c r="B19" s="7">
        <v>1335.8673972957099</v>
      </c>
      <c r="C19" s="7">
        <v>1325.59470341624</v>
      </c>
      <c r="D19" s="7">
        <v>1318.45249336083</v>
      </c>
      <c r="E19" s="7">
        <v>1293.8885234383299</v>
      </c>
      <c r="F19" s="7">
        <v>1270.4984551323</v>
      </c>
      <c r="G19" s="7">
        <v>1246.37700038614</v>
      </c>
      <c r="H19" s="7">
        <v>1225.42387139322</v>
      </c>
      <c r="I19" s="7">
        <v>1213.0782861662601</v>
      </c>
      <c r="J19" s="7">
        <v>1200.5139632145499</v>
      </c>
      <c r="K19" s="7">
        <v>1209.96606372107</v>
      </c>
      <c r="L19" s="7">
        <v>1228.6174438389701</v>
      </c>
      <c r="M19" s="7">
        <v>1266.6907928037899</v>
      </c>
      <c r="N19" s="7">
        <v>1299.41703210235</v>
      </c>
      <c r="O19" s="7">
        <v>1349.007771797</v>
      </c>
      <c r="P19" s="7">
        <v>1415.54895877594</v>
      </c>
      <c r="Q19" s="7">
        <v>1505.72063145634</v>
      </c>
      <c r="R19" s="7">
        <v>1610.3959985091301</v>
      </c>
      <c r="S19" s="7">
        <v>1548.3518904949401</v>
      </c>
      <c r="T19" s="7">
        <v>1117.9632891572101</v>
      </c>
      <c r="U19" s="7">
        <v>1740.75617744393</v>
      </c>
      <c r="V19" s="7">
        <v>3746.4244493920201</v>
      </c>
      <c r="W19" s="7">
        <v>5307.6960256656903</v>
      </c>
      <c r="X19" s="7">
        <v>5788.6250162451297</v>
      </c>
      <c r="Y19" s="7">
        <v>5919.65647673083</v>
      </c>
      <c r="Z19" s="7">
        <v>6024.9466267071002</v>
      </c>
      <c r="AA19" s="7">
        <v>6118.6178515904003</v>
      </c>
      <c r="AB19" s="7">
        <v>6191.7420169511697</v>
      </c>
      <c r="AC19" s="7">
        <v>6256.8130185705804</v>
      </c>
      <c r="AD19" s="7">
        <v>6295.9326828890898</v>
      </c>
      <c r="AE19" s="7">
        <v>6144.3151305005604</v>
      </c>
      <c r="AF19" s="8"/>
      <c r="AG19" s="6"/>
      <c r="AH19" s="9" t="s">
        <v>9</v>
      </c>
      <c r="AI19" s="10">
        <v>2817.2300013048898</v>
      </c>
      <c r="AJ19" s="6"/>
      <c r="AK19" s="9" t="s">
        <v>9</v>
      </c>
      <c r="AL19" s="11">
        <v>1263.96607575246</v>
      </c>
      <c r="AM19" s="11">
        <v>1408.2469986379599</v>
      </c>
      <c r="AN19" s="10">
        <v>5779.4769295242504</v>
      </c>
    </row>
    <row r="20" spans="1:40" ht="13.5" customHeight="1" x14ac:dyDescent="0.25">
      <c r="A20" s="1" t="s">
        <v>29</v>
      </c>
      <c r="B20" s="13">
        <v>3</v>
      </c>
      <c r="C20" s="13">
        <v>3</v>
      </c>
      <c r="D20" s="13">
        <v>3</v>
      </c>
      <c r="E20" s="13">
        <v>3</v>
      </c>
      <c r="F20" s="13">
        <v>3</v>
      </c>
      <c r="G20" s="13">
        <v>3</v>
      </c>
      <c r="H20" s="13">
        <v>3</v>
      </c>
      <c r="I20" s="13">
        <v>3</v>
      </c>
      <c r="J20" s="13">
        <v>3</v>
      </c>
      <c r="K20" s="13">
        <v>3</v>
      </c>
      <c r="L20" s="13">
        <v>3</v>
      </c>
      <c r="M20" s="13">
        <v>3</v>
      </c>
      <c r="N20" s="13">
        <v>3</v>
      </c>
      <c r="O20" s="13">
        <v>3</v>
      </c>
      <c r="P20" s="13">
        <v>3</v>
      </c>
      <c r="Q20" s="13">
        <v>3</v>
      </c>
      <c r="R20" s="13">
        <v>3</v>
      </c>
      <c r="S20" s="13">
        <v>3</v>
      </c>
      <c r="T20" s="13">
        <v>3</v>
      </c>
      <c r="U20" s="13">
        <v>3</v>
      </c>
      <c r="V20" s="13">
        <v>3</v>
      </c>
      <c r="W20" s="13">
        <v>3</v>
      </c>
      <c r="X20" s="13">
        <v>3</v>
      </c>
      <c r="Y20" s="13">
        <v>3</v>
      </c>
      <c r="Z20" s="13">
        <v>3</v>
      </c>
      <c r="AA20" s="13">
        <v>3</v>
      </c>
      <c r="AB20" s="13">
        <v>3</v>
      </c>
      <c r="AC20" s="13">
        <v>3</v>
      </c>
      <c r="AD20" s="13">
        <v>3</v>
      </c>
      <c r="AE20" s="13">
        <v>3</v>
      </c>
      <c r="AF20" s="8"/>
      <c r="AG20" s="6"/>
      <c r="AH20" s="9" t="s">
        <v>9</v>
      </c>
      <c r="AI20" s="14">
        <v>3</v>
      </c>
      <c r="AJ20" s="6"/>
      <c r="AK20" s="9" t="s">
        <v>9</v>
      </c>
      <c r="AL20" s="15">
        <v>3</v>
      </c>
      <c r="AM20" s="15">
        <v>3</v>
      </c>
      <c r="AN20" s="14">
        <v>3</v>
      </c>
    </row>
    <row r="21" spans="1:40" ht="13.5" customHeight="1" x14ac:dyDescent="0.25">
      <c r="A21" s="1" t="s">
        <v>30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8"/>
      <c r="AG21" s="6"/>
      <c r="AH21" s="9" t="s">
        <v>16</v>
      </c>
      <c r="AI21" s="14">
        <v>0</v>
      </c>
      <c r="AJ21" s="6"/>
      <c r="AK21" s="9" t="s">
        <v>16</v>
      </c>
      <c r="AL21" s="15">
        <v>0</v>
      </c>
      <c r="AM21" s="15">
        <v>0</v>
      </c>
      <c r="AN21" s="14">
        <v>0</v>
      </c>
    </row>
    <row r="22" spans="1:40" ht="13.5" customHeight="1" x14ac:dyDescent="0.25">
      <c r="A22" s="1" t="s">
        <v>31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8"/>
      <c r="AG22" s="6"/>
      <c r="AH22" s="9" t="s">
        <v>32</v>
      </c>
      <c r="AI22" s="14">
        <v>0</v>
      </c>
      <c r="AJ22" s="6"/>
      <c r="AK22" s="9" t="s">
        <v>32</v>
      </c>
      <c r="AL22" s="15">
        <v>0</v>
      </c>
      <c r="AM22" s="15">
        <v>0</v>
      </c>
      <c r="AN22" s="14">
        <v>0</v>
      </c>
    </row>
    <row r="23" spans="1:40" ht="13.5" customHeight="1" x14ac:dyDescent="0.25">
      <c r="A23" s="1" t="s">
        <v>33</v>
      </c>
      <c r="B23" s="7">
        <v>2771.8577027564802</v>
      </c>
      <c r="C23" s="7">
        <v>2469.6572866122601</v>
      </c>
      <c r="D23" s="7">
        <v>2444.9877243844699</v>
      </c>
      <c r="E23" s="7">
        <v>3366.7218973443501</v>
      </c>
      <c r="F23" s="7">
        <v>3346.26501782777</v>
      </c>
      <c r="G23" s="7">
        <v>3322.9699893325201</v>
      </c>
      <c r="H23" s="7">
        <v>3339.32259034142</v>
      </c>
      <c r="I23" s="7">
        <v>3185.0695677437602</v>
      </c>
      <c r="J23" s="7">
        <v>3208.1880386968501</v>
      </c>
      <c r="K23" s="7">
        <v>3174.1916993371301</v>
      </c>
      <c r="L23" s="7">
        <v>3271.4181923895999</v>
      </c>
      <c r="M23" s="7">
        <v>3227.67173965642</v>
      </c>
      <c r="N23" s="7">
        <v>4148.1704226164502</v>
      </c>
      <c r="O23" s="7">
        <v>4342.9045672573102</v>
      </c>
      <c r="P23" s="7">
        <v>4407.0661882520899</v>
      </c>
      <c r="Q23" s="7">
        <v>4497.2378609324896</v>
      </c>
      <c r="R23" s="7">
        <v>4601.9132279852802</v>
      </c>
      <c r="S23" s="7">
        <v>4539.8691199710902</v>
      </c>
      <c r="T23" s="7">
        <v>4109.4805186333597</v>
      </c>
      <c r="U23" s="7">
        <v>4732.2734069200797</v>
      </c>
      <c r="V23" s="7">
        <v>6737.9416788681701</v>
      </c>
      <c r="W23" s="7">
        <v>8536.4303813608294</v>
      </c>
      <c r="X23" s="7">
        <v>9057.5127597608898</v>
      </c>
      <c r="Y23" s="7">
        <v>9015.8800193311108</v>
      </c>
      <c r="Z23" s="7">
        <v>9141.5660779455793</v>
      </c>
      <c r="AA23" s="7">
        <v>9209.2146326245493</v>
      </c>
      <c r="AB23" s="7">
        <v>9448.2339178081293</v>
      </c>
      <c r="AC23" s="7">
        <v>9539.2082520542699</v>
      </c>
      <c r="AD23" s="7">
        <v>9869.1412411181791</v>
      </c>
      <c r="AE23" s="7">
        <v>9881.3706674032492</v>
      </c>
      <c r="AF23" s="8"/>
      <c r="AG23" s="6"/>
      <c r="AH23" s="9" t="s">
        <v>9</v>
      </c>
      <c r="AI23" s="10">
        <v>5431.4578795755397</v>
      </c>
      <c r="AJ23" s="6"/>
      <c r="AK23" s="9" t="s">
        <v>9</v>
      </c>
      <c r="AL23" s="11">
        <v>3062.9231514377002</v>
      </c>
      <c r="AM23" s="11">
        <v>4187.8005244614196</v>
      </c>
      <c r="AN23" s="10">
        <v>9043.6499628274996</v>
      </c>
    </row>
    <row r="24" spans="1:40" ht="13.5" customHeight="1" x14ac:dyDescent="0.25">
      <c r="A24" s="1" t="s">
        <v>34</v>
      </c>
      <c r="B24" s="7">
        <v>239.48850551816</v>
      </c>
      <c r="C24" s="7">
        <v>213.37838956329901</v>
      </c>
      <c r="D24" s="7">
        <v>211.24693938681801</v>
      </c>
      <c r="E24" s="7">
        <v>290.88477193055201</v>
      </c>
      <c r="F24" s="7">
        <v>289.11729754031899</v>
      </c>
      <c r="G24" s="7">
        <v>287.10460707832902</v>
      </c>
      <c r="H24" s="7">
        <v>288.51747180549899</v>
      </c>
      <c r="I24" s="7">
        <v>275.19001065306099</v>
      </c>
      <c r="J24" s="7">
        <v>277.18744654340799</v>
      </c>
      <c r="K24" s="7">
        <v>274.25016282272799</v>
      </c>
      <c r="L24" s="7">
        <v>282.65053182246101</v>
      </c>
      <c r="M24" s="7">
        <v>278.87083830631502</v>
      </c>
      <c r="N24" s="7">
        <v>358.40192451406199</v>
      </c>
      <c r="O24" s="7">
        <v>375.226954611032</v>
      </c>
      <c r="P24" s="7">
        <v>380.77051866498101</v>
      </c>
      <c r="Q24" s="7">
        <v>388.561351184567</v>
      </c>
      <c r="R24" s="7">
        <v>397.60530289792899</v>
      </c>
      <c r="S24" s="7">
        <v>392.244691965502</v>
      </c>
      <c r="T24" s="7">
        <v>355.05911680992199</v>
      </c>
      <c r="U24" s="7">
        <v>408.86842235789499</v>
      </c>
      <c r="V24" s="7">
        <v>582.15816105421004</v>
      </c>
      <c r="W24" s="7">
        <v>737.54758494957605</v>
      </c>
      <c r="X24" s="7">
        <v>782.56910244334097</v>
      </c>
      <c r="Y24" s="7">
        <v>778.97203367020802</v>
      </c>
      <c r="Z24" s="7">
        <v>789.83130913449804</v>
      </c>
      <c r="AA24" s="7">
        <v>795.67614425876195</v>
      </c>
      <c r="AB24" s="7">
        <v>816.32741049862295</v>
      </c>
      <c r="AC24" s="7">
        <v>824.18759297748898</v>
      </c>
      <c r="AD24" s="7">
        <v>852.69380323260998</v>
      </c>
      <c r="AE24" s="7">
        <v>853.75042566364095</v>
      </c>
      <c r="AF24" s="8"/>
      <c r="AG24" s="6"/>
      <c r="AH24" s="9" t="s">
        <v>32</v>
      </c>
      <c r="AI24" s="10">
        <v>14078.3388238598</v>
      </c>
      <c r="AJ24" s="6"/>
      <c r="AK24" s="9" t="s">
        <v>32</v>
      </c>
      <c r="AL24" s="11">
        <v>2646.3656028421701</v>
      </c>
      <c r="AM24" s="11">
        <v>3618.2596531346599</v>
      </c>
      <c r="AN24" s="10">
        <v>7813.71356788296</v>
      </c>
    </row>
    <row r="25" spans="1:40" ht="13.5" customHeight="1" x14ac:dyDescent="0.25">
      <c r="A25" s="1" t="s">
        <v>35</v>
      </c>
      <c r="B25" s="7">
        <v>27.277013084778599</v>
      </c>
      <c r="C25" s="7">
        <v>26.566372187587199</v>
      </c>
      <c r="D25" s="7">
        <v>26.307166384943802</v>
      </c>
      <c r="E25" s="7">
        <v>28.774513838371799</v>
      </c>
      <c r="F25" s="7">
        <v>28.8060207522742</v>
      </c>
      <c r="G25" s="7">
        <v>29.174146595825899</v>
      </c>
      <c r="H25" s="7">
        <v>29.592998428869802</v>
      </c>
      <c r="I25" s="7">
        <v>29.4939054660708</v>
      </c>
      <c r="J25" s="7">
        <v>29.153987564664401</v>
      </c>
      <c r="K25" s="7">
        <v>28.7251898486569</v>
      </c>
      <c r="L25" s="7">
        <v>29.3829250874915</v>
      </c>
      <c r="M25" s="7">
        <v>28.595259264379099</v>
      </c>
      <c r="N25" s="7">
        <v>29.386051504770901</v>
      </c>
      <c r="O25" s="7">
        <v>29.675411475398601</v>
      </c>
      <c r="P25" s="7">
        <v>29.087291723187899</v>
      </c>
      <c r="Q25" s="7">
        <v>30.539076123801198</v>
      </c>
      <c r="R25" s="7">
        <v>29.8851722947615</v>
      </c>
      <c r="S25" s="7">
        <v>26.139693118722398</v>
      </c>
      <c r="T25" s="7">
        <v>25.743558188109599</v>
      </c>
      <c r="U25" s="7">
        <v>25.730731303113</v>
      </c>
      <c r="V25" s="7">
        <v>24.7254513671109</v>
      </c>
      <c r="W25" s="7">
        <v>29.049765304571601</v>
      </c>
      <c r="X25" s="7">
        <v>30.298797491652699</v>
      </c>
      <c r="Y25" s="7">
        <v>29.462519466504698</v>
      </c>
      <c r="Z25" s="7">
        <v>29.057757678440801</v>
      </c>
      <c r="AA25" s="7">
        <v>28.510031193903099</v>
      </c>
      <c r="AB25" s="7">
        <v>28.605037166382498</v>
      </c>
      <c r="AC25" s="7">
        <v>28.4591952765158</v>
      </c>
      <c r="AD25" s="7">
        <v>29.183161724786501</v>
      </c>
      <c r="AE25" s="7">
        <v>29.571255580970899</v>
      </c>
      <c r="AF25" s="8"/>
      <c r="AG25" s="6"/>
      <c r="AH25" s="9" t="s">
        <v>9</v>
      </c>
      <c r="AI25" s="10">
        <v>28.498648549554002</v>
      </c>
      <c r="AJ25" s="6"/>
      <c r="AK25" s="9" t="s">
        <v>9</v>
      </c>
      <c r="AL25" s="11">
        <v>28.387131415204301</v>
      </c>
      <c r="AM25" s="11">
        <v>28.416517008373599</v>
      </c>
      <c r="AN25" s="10">
        <v>28.692297225084001</v>
      </c>
    </row>
    <row r="26" spans="1:40" ht="13.5" customHeight="1" x14ac:dyDescent="0.25">
      <c r="A26" s="1" t="s">
        <v>36</v>
      </c>
      <c r="B26" s="13">
        <v>767</v>
      </c>
      <c r="C26" s="13">
        <v>804</v>
      </c>
      <c r="D26" s="13">
        <v>842</v>
      </c>
      <c r="E26" s="13">
        <v>893</v>
      </c>
      <c r="F26" s="13">
        <v>952</v>
      </c>
      <c r="G26" s="13">
        <v>1060</v>
      </c>
      <c r="H26" s="13">
        <v>1280</v>
      </c>
      <c r="I26" s="13">
        <v>1640</v>
      </c>
      <c r="J26" s="13">
        <v>2040</v>
      </c>
      <c r="K26" s="13">
        <v>2760</v>
      </c>
      <c r="L26" s="13">
        <v>3710</v>
      </c>
      <c r="M26" s="13">
        <v>4660</v>
      </c>
      <c r="N26" s="13">
        <v>5500</v>
      </c>
      <c r="O26" s="13">
        <v>5920</v>
      </c>
      <c r="P26" s="13">
        <v>6050</v>
      </c>
      <c r="Q26" s="13">
        <v>7130</v>
      </c>
      <c r="R26" s="13">
        <v>8870</v>
      </c>
      <c r="S26" s="13">
        <v>10310</v>
      </c>
      <c r="T26" s="13">
        <v>11720</v>
      </c>
      <c r="U26" s="13">
        <v>13100</v>
      </c>
      <c r="V26" s="13">
        <v>14200</v>
      </c>
      <c r="W26" s="13">
        <v>14800</v>
      </c>
      <c r="X26" s="13">
        <v>15100</v>
      </c>
      <c r="Y26" s="13">
        <v>15600</v>
      </c>
      <c r="Z26" s="13">
        <v>15100</v>
      </c>
      <c r="AA26" s="13">
        <v>14600</v>
      </c>
      <c r="AB26" s="13">
        <v>13900</v>
      </c>
      <c r="AC26" s="13">
        <v>13100</v>
      </c>
      <c r="AD26" s="13">
        <v>12100</v>
      </c>
      <c r="AE26" s="13">
        <v>11300</v>
      </c>
      <c r="AF26" s="8"/>
      <c r="AG26" s="6"/>
      <c r="AH26" s="9" t="s">
        <v>9</v>
      </c>
      <c r="AI26" s="10">
        <v>7660.2666666666701</v>
      </c>
      <c r="AJ26" s="6"/>
      <c r="AK26" s="9" t="s">
        <v>9</v>
      </c>
      <c r="AL26" s="11">
        <v>1303.8</v>
      </c>
      <c r="AM26" s="15">
        <v>7697</v>
      </c>
      <c r="AN26" s="14">
        <v>13980</v>
      </c>
    </row>
    <row r="27" spans="1:40" ht="13.5" customHeight="1" x14ac:dyDescent="0.25">
      <c r="A27" s="1" t="s">
        <v>37</v>
      </c>
      <c r="B27" s="7">
        <v>66.268799999999999</v>
      </c>
      <c r="C27" s="7">
        <v>69.465599999999995</v>
      </c>
      <c r="D27" s="7">
        <v>72.748800000000003</v>
      </c>
      <c r="E27" s="7">
        <v>77.155199999999994</v>
      </c>
      <c r="F27" s="7">
        <v>82.252799999999993</v>
      </c>
      <c r="G27" s="7">
        <v>91.584000000000003</v>
      </c>
      <c r="H27" s="7">
        <v>110.592</v>
      </c>
      <c r="I27" s="7">
        <v>141.696</v>
      </c>
      <c r="J27" s="7">
        <v>176.256</v>
      </c>
      <c r="K27" s="7">
        <v>238.464</v>
      </c>
      <c r="L27" s="7">
        <v>320.54399999999998</v>
      </c>
      <c r="M27" s="7">
        <v>402.62400000000002</v>
      </c>
      <c r="N27" s="7">
        <v>475.2</v>
      </c>
      <c r="O27" s="7">
        <v>511.488</v>
      </c>
      <c r="P27" s="7">
        <v>522.72</v>
      </c>
      <c r="Q27" s="7">
        <v>616.03200000000004</v>
      </c>
      <c r="R27" s="7">
        <v>766.36800000000005</v>
      </c>
      <c r="S27" s="7">
        <v>890.78399999999999</v>
      </c>
      <c r="T27" s="7">
        <v>1012.6079999999999</v>
      </c>
      <c r="U27" s="7">
        <v>1131.8399999999999</v>
      </c>
      <c r="V27" s="7">
        <v>1226.8800000000001</v>
      </c>
      <c r="W27" s="7">
        <v>1278.72</v>
      </c>
      <c r="X27" s="7">
        <v>1304.6400000000001</v>
      </c>
      <c r="Y27" s="7">
        <v>1347.84</v>
      </c>
      <c r="Z27" s="7">
        <v>1304.6400000000001</v>
      </c>
      <c r="AA27" s="7">
        <v>1261.44</v>
      </c>
      <c r="AB27" s="7">
        <v>1200.96</v>
      </c>
      <c r="AC27" s="7">
        <v>1131.8399999999999</v>
      </c>
      <c r="AD27" s="7">
        <v>1045.44</v>
      </c>
      <c r="AE27" s="7">
        <v>976.32</v>
      </c>
      <c r="AF27" s="8"/>
      <c r="AG27" s="6"/>
      <c r="AH27" s="9" t="s">
        <v>32</v>
      </c>
      <c r="AI27" s="10">
        <v>19855.411199999999</v>
      </c>
      <c r="AJ27" s="6"/>
      <c r="AK27" s="9" t="s">
        <v>32</v>
      </c>
      <c r="AL27" s="11">
        <v>1126.4831999999999</v>
      </c>
      <c r="AM27" s="11">
        <v>6650.2079999999996</v>
      </c>
      <c r="AN27" s="10">
        <v>12078.72</v>
      </c>
    </row>
    <row r="28" spans="1:40" ht="13.5" customHeight="1" x14ac:dyDescent="0.25">
      <c r="A28" s="1" t="s">
        <v>38</v>
      </c>
      <c r="B28" s="13">
        <v>1695</v>
      </c>
      <c r="C28" s="13">
        <v>1628</v>
      </c>
      <c r="D28" s="13">
        <v>1609</v>
      </c>
      <c r="E28" s="13">
        <v>1562</v>
      </c>
      <c r="F28" s="13">
        <v>1436</v>
      </c>
      <c r="G28" s="13">
        <v>1391</v>
      </c>
      <c r="H28" s="13">
        <v>1312</v>
      </c>
      <c r="I28" s="13">
        <v>1285</v>
      </c>
      <c r="J28" s="13">
        <v>1155</v>
      </c>
      <c r="K28" s="13">
        <v>1216</v>
      </c>
      <c r="L28" s="13">
        <v>1224</v>
      </c>
      <c r="M28" s="13">
        <v>1391</v>
      </c>
      <c r="N28" s="13">
        <v>1445</v>
      </c>
      <c r="O28" s="13">
        <v>1647</v>
      </c>
      <c r="P28" s="13">
        <v>1752</v>
      </c>
      <c r="Q28" s="13">
        <v>2203</v>
      </c>
      <c r="R28" s="13">
        <v>2674</v>
      </c>
      <c r="S28" s="13">
        <v>3198</v>
      </c>
      <c r="T28" s="13">
        <v>3820</v>
      </c>
      <c r="U28" s="13">
        <v>4499</v>
      </c>
      <c r="V28" s="13">
        <v>5165</v>
      </c>
      <c r="W28" s="13">
        <v>5615</v>
      </c>
      <c r="X28" s="13">
        <v>6147</v>
      </c>
      <c r="Y28" s="13">
        <v>6621</v>
      </c>
      <c r="Z28" s="13">
        <v>7115</v>
      </c>
      <c r="AA28" s="13">
        <v>7418</v>
      </c>
      <c r="AB28" s="13">
        <v>7993</v>
      </c>
      <c r="AC28" s="13">
        <v>8316</v>
      </c>
      <c r="AD28" s="13">
        <v>8537</v>
      </c>
      <c r="AE28" s="13">
        <v>8667</v>
      </c>
      <c r="AF28" s="8"/>
      <c r="AG28" s="6"/>
      <c r="AH28" s="9" t="s">
        <v>9</v>
      </c>
      <c r="AI28" s="10">
        <v>3657.86666666667</v>
      </c>
      <c r="AJ28" s="6"/>
      <c r="AK28" s="9" t="s">
        <v>9</v>
      </c>
      <c r="AL28" s="11">
        <v>1428.9</v>
      </c>
      <c r="AM28" s="11">
        <v>2385.3000000000002</v>
      </c>
      <c r="AN28" s="10">
        <v>7159.4</v>
      </c>
    </row>
    <row r="29" spans="1:40" ht="13.5" customHeight="1" x14ac:dyDescent="0.25">
      <c r="A29" s="1" t="s">
        <v>39</v>
      </c>
      <c r="B29" s="7">
        <v>318.15972027777798</v>
      </c>
      <c r="C29" s="7">
        <v>215.21055222222199</v>
      </c>
      <c r="D29" s="7">
        <v>225.39055361111099</v>
      </c>
      <c r="E29" s="7">
        <v>360.75305166666698</v>
      </c>
      <c r="F29" s="7">
        <v>375.443050555556</v>
      </c>
      <c r="G29" s="7">
        <v>386.38554972222198</v>
      </c>
      <c r="H29" s="7">
        <v>383.40138305555598</v>
      </c>
      <c r="I29" s="7">
        <v>352.19194111111102</v>
      </c>
      <c r="J29" s="7">
        <v>354.603330555556</v>
      </c>
      <c r="K29" s="7">
        <v>357.56777333333298</v>
      </c>
      <c r="L29" s="7">
        <v>381.07555194444399</v>
      </c>
      <c r="M29" s="7">
        <v>342.585829166667</v>
      </c>
      <c r="N29" s="7">
        <v>484.85332749999998</v>
      </c>
      <c r="O29" s="7">
        <v>503.99999416666702</v>
      </c>
      <c r="P29" s="7">
        <v>503.99999416666702</v>
      </c>
      <c r="Q29" s="7">
        <v>481.57332722222202</v>
      </c>
      <c r="R29" s="7">
        <v>481.43916055555599</v>
      </c>
      <c r="S29" s="7">
        <v>527.99999388888898</v>
      </c>
      <c r="T29" s="7">
        <v>527.99999388888898</v>
      </c>
      <c r="U29" s="7">
        <v>531.44221611111095</v>
      </c>
      <c r="V29" s="7">
        <v>536.451104722222</v>
      </c>
      <c r="W29" s="7">
        <v>535.807493611111</v>
      </c>
      <c r="X29" s="7">
        <v>525.91443833333301</v>
      </c>
      <c r="Y29" s="7">
        <v>527.99999388888898</v>
      </c>
      <c r="Z29" s="7">
        <v>524.62971611111095</v>
      </c>
      <c r="AA29" s="7">
        <v>528.73804944444498</v>
      </c>
      <c r="AB29" s="7">
        <v>527.99999388888898</v>
      </c>
      <c r="AC29" s="7">
        <v>527.99999388888898</v>
      </c>
      <c r="AD29" s="7">
        <v>527.51027166666699</v>
      </c>
      <c r="AE29" s="7">
        <v>527.99999388888898</v>
      </c>
      <c r="AF29" s="8"/>
      <c r="AG29" s="6"/>
      <c r="AH29" s="9" t="s">
        <v>32</v>
      </c>
      <c r="AI29" s="10">
        <v>13387.1273441667</v>
      </c>
      <c r="AJ29" s="6"/>
      <c r="AK29" s="9" t="s">
        <v>32</v>
      </c>
      <c r="AL29" s="11">
        <v>3329.1069061111102</v>
      </c>
      <c r="AM29" s="11">
        <v>4766.9693886111099</v>
      </c>
      <c r="AN29" s="10">
        <v>5291.0510494444497</v>
      </c>
    </row>
    <row r="30" spans="1:40" ht="13.5" customHeight="1" x14ac:dyDescent="0.25">
      <c r="A30" s="1" t="s">
        <v>40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8"/>
      <c r="AG30" s="6"/>
      <c r="AH30" s="9" t="s">
        <v>32</v>
      </c>
      <c r="AI30" s="14">
        <v>0</v>
      </c>
      <c r="AJ30" s="6"/>
      <c r="AK30" s="9" t="s">
        <v>32</v>
      </c>
      <c r="AL30" s="15">
        <v>0</v>
      </c>
      <c r="AM30" s="15">
        <v>0</v>
      </c>
      <c r="AN30" s="14">
        <v>0</v>
      </c>
    </row>
    <row r="31" spans="1:40" ht="13.5" customHeight="1" x14ac:dyDescent="0.25">
      <c r="A31" s="1" t="s">
        <v>41</v>
      </c>
      <c r="B31" s="13">
        <v>30</v>
      </c>
      <c r="C31" s="13">
        <v>30</v>
      </c>
      <c r="D31" s="13">
        <v>30</v>
      </c>
      <c r="E31" s="13">
        <v>30</v>
      </c>
      <c r="F31" s="13">
        <v>30</v>
      </c>
      <c r="G31" s="13">
        <v>30</v>
      </c>
      <c r="H31" s="13">
        <v>30</v>
      </c>
      <c r="I31" s="13">
        <v>30</v>
      </c>
      <c r="J31" s="13">
        <v>30</v>
      </c>
      <c r="K31" s="13">
        <v>30</v>
      </c>
      <c r="L31" s="13">
        <v>30</v>
      </c>
      <c r="M31" s="13">
        <v>30</v>
      </c>
      <c r="N31" s="13">
        <v>30</v>
      </c>
      <c r="O31" s="13">
        <v>30</v>
      </c>
      <c r="P31" s="13">
        <v>30</v>
      </c>
      <c r="Q31" s="13">
        <v>30</v>
      </c>
      <c r="R31" s="13">
        <v>30</v>
      </c>
      <c r="S31" s="13">
        <v>30</v>
      </c>
      <c r="T31" s="13">
        <v>30</v>
      </c>
      <c r="U31" s="13">
        <v>30</v>
      </c>
      <c r="V31" s="13">
        <v>30</v>
      </c>
      <c r="W31" s="13">
        <v>30</v>
      </c>
      <c r="X31" s="13">
        <v>30</v>
      </c>
      <c r="Y31" s="13">
        <v>30</v>
      </c>
      <c r="Z31" s="13">
        <v>30</v>
      </c>
      <c r="AA31" s="13">
        <v>30</v>
      </c>
      <c r="AB31" s="13">
        <v>30</v>
      </c>
      <c r="AC31" s="13">
        <v>30</v>
      </c>
      <c r="AD31" s="13">
        <v>30</v>
      </c>
      <c r="AE31" s="13">
        <v>30</v>
      </c>
      <c r="AF31" s="8"/>
      <c r="AG31" s="6"/>
      <c r="AH31" s="9" t="s">
        <v>9</v>
      </c>
      <c r="AI31" s="14">
        <v>30</v>
      </c>
      <c r="AJ31" s="6"/>
      <c r="AK31" s="9" t="s">
        <v>9</v>
      </c>
      <c r="AL31" s="15">
        <v>30</v>
      </c>
      <c r="AM31" s="15">
        <v>30</v>
      </c>
      <c r="AN31" s="14">
        <v>30</v>
      </c>
    </row>
    <row r="32" spans="1:40" ht="13.5" customHeight="1" x14ac:dyDescent="0.25">
      <c r="A32" s="1" t="s">
        <v>42</v>
      </c>
      <c r="B32" s="7">
        <v>0.35054183070247003</v>
      </c>
      <c r="C32" s="7">
        <v>0.48577542848171001</v>
      </c>
      <c r="D32" s="7">
        <v>0.42938385236736698</v>
      </c>
      <c r="E32" s="7">
        <v>0.56884570254825795</v>
      </c>
      <c r="F32" s="7">
        <v>0.52669159326080395</v>
      </c>
      <c r="G32" s="7">
        <v>0.49767865845033599</v>
      </c>
      <c r="H32" s="7">
        <v>0.52380685830454898</v>
      </c>
      <c r="I32" s="7">
        <v>0.54009790921703904</v>
      </c>
      <c r="J32" s="7">
        <v>0.55226264133499503</v>
      </c>
      <c r="K32" s="7">
        <v>0.519854874797957</v>
      </c>
      <c r="L32" s="7">
        <v>0.49510470917431398</v>
      </c>
      <c r="M32" s="7">
        <v>0.56444531343495197</v>
      </c>
      <c r="N32" s="7">
        <v>0.59527480454327597</v>
      </c>
      <c r="O32" s="7">
        <v>0.60853495565752802</v>
      </c>
      <c r="P32" s="7">
        <v>0.60756703657260902</v>
      </c>
      <c r="Q32" s="7">
        <v>0.66547296459947702</v>
      </c>
      <c r="R32" s="7">
        <v>0.66584392208499898</v>
      </c>
      <c r="S32" s="7">
        <v>0.55358897340603497</v>
      </c>
      <c r="T32" s="7">
        <v>0.55358897340603497</v>
      </c>
      <c r="U32" s="7">
        <v>0.54644085881278404</v>
      </c>
      <c r="V32" s="7">
        <v>0.53628417058768396</v>
      </c>
      <c r="W32" s="7">
        <v>0.62630138359096998</v>
      </c>
      <c r="X32" s="7">
        <v>0.66637094987961998</v>
      </c>
      <c r="Y32" s="7">
        <v>0.59305984127968103</v>
      </c>
      <c r="Z32" s="7">
        <v>0.60865196571768998</v>
      </c>
      <c r="AA32" s="7">
        <v>0.589255667112218</v>
      </c>
      <c r="AB32" s="7">
        <v>0.65610804508077503</v>
      </c>
      <c r="AC32" s="7">
        <v>0.66659710824426199</v>
      </c>
      <c r="AD32" s="7">
        <v>0.79153308104160702</v>
      </c>
      <c r="AE32" s="7">
        <v>0.86424614103918795</v>
      </c>
      <c r="AF32" s="8"/>
      <c r="AG32" s="6"/>
      <c r="AH32" s="9" t="s">
        <v>9</v>
      </c>
      <c r="AI32" s="10">
        <v>0.58164034049103996</v>
      </c>
      <c r="AJ32" s="6"/>
      <c r="AK32" s="9" t="s">
        <v>9</v>
      </c>
      <c r="AL32" s="11">
        <v>0.49949393494654798</v>
      </c>
      <c r="AM32" s="11">
        <v>0.58558625116920104</v>
      </c>
      <c r="AN32" s="10">
        <v>0.65984083535736904</v>
      </c>
    </row>
    <row r="33" spans="1:40" ht="13.5" customHeight="1" x14ac:dyDescent="0.25">
      <c r="A33" s="1" t="s">
        <v>43</v>
      </c>
      <c r="B33" s="7">
        <v>4.5389999999999997</v>
      </c>
      <c r="C33" s="7">
        <v>8.25</v>
      </c>
      <c r="D33" s="7">
        <v>11.94</v>
      </c>
      <c r="E33" s="7">
        <v>18.155000000000001</v>
      </c>
      <c r="F33" s="7">
        <v>24.372</v>
      </c>
      <c r="G33" s="7">
        <v>30.513000000000002</v>
      </c>
      <c r="H33" s="7">
        <v>36.676000000000002</v>
      </c>
      <c r="I33" s="7">
        <v>42.444000000000003</v>
      </c>
      <c r="J33" s="7">
        <v>48.384999999999998</v>
      </c>
      <c r="K33" s="7">
        <v>54.283999999999999</v>
      </c>
      <c r="L33" s="7">
        <v>60.281999999999996</v>
      </c>
      <c r="M33" s="7">
        <v>66.197999999999993</v>
      </c>
      <c r="N33" s="7">
        <v>74.564999999999998</v>
      </c>
      <c r="O33" s="7">
        <v>83.272999999999996</v>
      </c>
      <c r="P33" s="7">
        <v>92.15</v>
      </c>
      <c r="Q33" s="7">
        <v>100.605</v>
      </c>
      <c r="R33" s="7">
        <v>109.245</v>
      </c>
      <c r="S33" s="7">
        <v>119.123</v>
      </c>
      <c r="T33" s="7">
        <v>129.15299999999999</v>
      </c>
      <c r="U33" s="7">
        <v>139.18799999999999</v>
      </c>
      <c r="V33" s="7">
        <v>149.631</v>
      </c>
      <c r="W33" s="7">
        <v>159.22499999999999</v>
      </c>
      <c r="X33" s="7">
        <v>168.53800000000001</v>
      </c>
      <c r="Y33" s="7">
        <v>177.60900000000001</v>
      </c>
      <c r="Z33" s="7">
        <v>186.86699999999999</v>
      </c>
      <c r="AA33" s="7">
        <v>196.22399999999999</v>
      </c>
      <c r="AB33" s="7">
        <v>206.05099999999999</v>
      </c>
      <c r="AC33" s="7">
        <v>216.00700000000001</v>
      </c>
      <c r="AD33" s="7">
        <v>226.577</v>
      </c>
      <c r="AE33" s="7">
        <v>237.48699999999999</v>
      </c>
      <c r="AF33" s="8"/>
      <c r="AG33" s="6"/>
      <c r="AH33" s="9" t="s">
        <v>44</v>
      </c>
      <c r="AI33" s="10">
        <v>237.48699999999999</v>
      </c>
      <c r="AJ33" s="6"/>
      <c r="AK33" s="9" t="s">
        <v>44</v>
      </c>
      <c r="AL33" s="11">
        <v>54.283999999999999</v>
      </c>
      <c r="AM33" s="11">
        <v>139.18799999999999</v>
      </c>
      <c r="AN33" s="10">
        <v>237.48699999999999</v>
      </c>
    </row>
    <row r="34" spans="1:40" ht="13.5" customHeight="1" x14ac:dyDescent="0.25">
      <c r="A34" s="1" t="s">
        <v>45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8"/>
      <c r="AG34" s="6"/>
      <c r="AH34" s="9" t="s">
        <v>9</v>
      </c>
      <c r="AI34" s="14">
        <v>0</v>
      </c>
      <c r="AJ34" s="6"/>
      <c r="AK34" s="9" t="s">
        <v>9</v>
      </c>
      <c r="AL34" s="15">
        <v>0</v>
      </c>
      <c r="AM34" s="15">
        <v>0</v>
      </c>
      <c r="AN34" s="14">
        <v>0</v>
      </c>
    </row>
    <row r="35" spans="1:40" ht="13.5" customHeight="1" x14ac:dyDescent="0.25">
      <c r="A35" s="1" t="s">
        <v>46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8"/>
      <c r="AG35" s="6"/>
      <c r="AH35" s="9" t="s">
        <v>44</v>
      </c>
      <c r="AI35" s="14">
        <v>0</v>
      </c>
      <c r="AJ35" s="6"/>
      <c r="AK35" s="9" t="s">
        <v>44</v>
      </c>
      <c r="AL35" s="15">
        <v>0</v>
      </c>
      <c r="AM35" s="15">
        <v>0</v>
      </c>
      <c r="AN35" s="14">
        <v>0</v>
      </c>
    </row>
    <row r="36" spans="1:40" ht="13.5" customHeight="1" x14ac:dyDescent="0.25">
      <c r="A36" s="1" t="s">
        <v>47</v>
      </c>
      <c r="B36" s="7">
        <v>4.5389999999999997</v>
      </c>
      <c r="C36" s="7">
        <v>8.25</v>
      </c>
      <c r="D36" s="7">
        <v>11.94</v>
      </c>
      <c r="E36" s="7">
        <v>18.155000000000001</v>
      </c>
      <c r="F36" s="7">
        <v>24.372</v>
      </c>
      <c r="G36" s="7">
        <v>30.513000000000002</v>
      </c>
      <c r="H36" s="7">
        <v>36.676000000000002</v>
      </c>
      <c r="I36" s="7">
        <v>42.444000000000003</v>
      </c>
      <c r="J36" s="7">
        <v>48.384999999999998</v>
      </c>
      <c r="K36" s="7">
        <v>54.283999999999999</v>
      </c>
      <c r="L36" s="7">
        <v>60.281999999999996</v>
      </c>
      <c r="M36" s="7">
        <v>66.197999999999993</v>
      </c>
      <c r="N36" s="7">
        <v>74.564999999999998</v>
      </c>
      <c r="O36" s="7">
        <v>83.272999999999996</v>
      </c>
      <c r="P36" s="7">
        <v>92.15</v>
      </c>
      <c r="Q36" s="7">
        <v>100.605</v>
      </c>
      <c r="R36" s="7">
        <v>109.245</v>
      </c>
      <c r="S36" s="7">
        <v>119.123</v>
      </c>
      <c r="T36" s="7">
        <v>129.15299999999999</v>
      </c>
      <c r="U36" s="7">
        <v>139.18799999999999</v>
      </c>
      <c r="V36" s="7">
        <v>149.631</v>
      </c>
      <c r="W36" s="7">
        <v>159.22499999999999</v>
      </c>
      <c r="X36" s="7">
        <v>168.53800000000001</v>
      </c>
      <c r="Y36" s="7">
        <v>177.60900000000001</v>
      </c>
      <c r="Z36" s="7">
        <v>186.86699999999999</v>
      </c>
      <c r="AA36" s="7">
        <v>196.22399999999999</v>
      </c>
      <c r="AB36" s="7">
        <v>206.05099999999999</v>
      </c>
      <c r="AC36" s="7">
        <v>216.00700000000001</v>
      </c>
      <c r="AD36" s="7">
        <v>226.577</v>
      </c>
      <c r="AE36" s="7">
        <v>237.48699999999999</v>
      </c>
      <c r="AF36" s="8"/>
      <c r="AG36" s="6"/>
      <c r="AH36" s="9" t="s">
        <v>9</v>
      </c>
      <c r="AI36" s="10">
        <v>105.918533333333</v>
      </c>
      <c r="AJ36" s="6"/>
      <c r="AK36" s="9" t="s">
        <v>9</v>
      </c>
      <c r="AL36" s="11">
        <v>27.9558</v>
      </c>
      <c r="AM36" s="11">
        <v>97.378200000000007</v>
      </c>
      <c r="AN36" s="10">
        <v>192.42160000000001</v>
      </c>
    </row>
    <row r="37" spans="1:40" ht="13.5" customHeight="1" x14ac:dyDescent="0.25">
      <c r="A37" s="1" t="s">
        <v>48</v>
      </c>
      <c r="B37" s="7">
        <v>86.881805419922003</v>
      </c>
      <c r="C37" s="7">
        <v>86.725555419922003</v>
      </c>
      <c r="D37" s="7">
        <v>86.57364654541</v>
      </c>
      <c r="E37" s="7">
        <v>86.54759979248</v>
      </c>
      <c r="F37" s="7">
        <v>86.990310668945</v>
      </c>
      <c r="G37" s="7">
        <v>87.012008666992003</v>
      </c>
      <c r="H37" s="7">
        <v>87.13353729248</v>
      </c>
      <c r="I37" s="7">
        <v>86.942565917969006</v>
      </c>
      <c r="J37" s="7">
        <v>87.637008666992003</v>
      </c>
      <c r="K37" s="7">
        <v>87.337532043457003</v>
      </c>
      <c r="L37" s="7">
        <v>86.959930419922003</v>
      </c>
      <c r="M37" s="7">
        <v>86.920867919922003</v>
      </c>
      <c r="N37" s="7">
        <v>87.51114654541</v>
      </c>
      <c r="O37" s="7">
        <v>88.626594543457003</v>
      </c>
      <c r="P37" s="7">
        <v>88.69603729248</v>
      </c>
      <c r="Q37" s="7">
        <v>88.505065917969006</v>
      </c>
      <c r="R37" s="7">
        <v>88.400901794434006</v>
      </c>
      <c r="S37" s="7">
        <v>88.48770904541</v>
      </c>
      <c r="T37" s="7">
        <v>88.61791229248</v>
      </c>
      <c r="U37" s="7">
        <v>89.351425170897997</v>
      </c>
      <c r="V37" s="7">
        <v>90.25853729248</v>
      </c>
      <c r="W37" s="7">
        <v>91.86009979248</v>
      </c>
      <c r="X37" s="7">
        <v>92.537185668945</v>
      </c>
      <c r="Y37" s="7">
        <v>92.693435668945</v>
      </c>
      <c r="Z37" s="7">
        <v>92.78458404541</v>
      </c>
      <c r="AA37" s="7">
        <v>92.849685668945</v>
      </c>
      <c r="AB37" s="7">
        <v>92.923469543457003</v>
      </c>
      <c r="AC37" s="7">
        <v>93.040657043457003</v>
      </c>
      <c r="AD37" s="7">
        <v>93.11009979248</v>
      </c>
      <c r="AE37" s="7">
        <v>93.257675170897997</v>
      </c>
      <c r="AF37" s="8"/>
      <c r="AG37" s="6"/>
      <c r="AH37" s="9" t="s">
        <v>9</v>
      </c>
      <c r="AI37" s="10">
        <v>89.239153035481607</v>
      </c>
      <c r="AJ37" s="6"/>
      <c r="AK37" s="9" t="s">
        <v>9</v>
      </c>
      <c r="AL37" s="11">
        <v>86.978157043456903</v>
      </c>
      <c r="AM37" s="11">
        <v>88.207759094238199</v>
      </c>
      <c r="AN37" s="10">
        <v>92.531542968749704</v>
      </c>
    </row>
    <row r="38" spans="1:40" ht="13.5" customHeight="1" x14ac:dyDescent="0.25">
      <c r="A38" s="1" t="s">
        <v>49</v>
      </c>
      <c r="B38" s="7">
        <v>438.37200000000001</v>
      </c>
      <c r="C38" s="7">
        <v>442.08300000000003</v>
      </c>
      <c r="D38" s="7">
        <v>445.77300000000002</v>
      </c>
      <c r="E38" s="7">
        <v>451.988</v>
      </c>
      <c r="F38" s="7">
        <v>458.20499999999998</v>
      </c>
      <c r="G38" s="7">
        <v>464.346</v>
      </c>
      <c r="H38" s="7">
        <v>470.50900000000001</v>
      </c>
      <c r="I38" s="7">
        <v>476.27699999999999</v>
      </c>
      <c r="J38" s="7">
        <v>482.21800000000002</v>
      </c>
      <c r="K38" s="7">
        <v>488.11700000000002</v>
      </c>
      <c r="L38" s="7">
        <v>494.11500000000001</v>
      </c>
      <c r="M38" s="7">
        <v>500.03100000000001</v>
      </c>
      <c r="N38" s="7">
        <v>508.39800000000002</v>
      </c>
      <c r="O38" s="7">
        <v>517.10599999999999</v>
      </c>
      <c r="P38" s="7">
        <v>525.98299999999995</v>
      </c>
      <c r="Q38" s="7">
        <v>534.43799999999999</v>
      </c>
      <c r="R38" s="7">
        <v>543.07799999999997</v>
      </c>
      <c r="S38" s="7">
        <v>552.95600000000002</v>
      </c>
      <c r="T38" s="7">
        <v>562.98599999999999</v>
      </c>
      <c r="U38" s="7">
        <v>573.02099999999996</v>
      </c>
      <c r="V38" s="7">
        <v>583.46400000000006</v>
      </c>
      <c r="W38" s="7">
        <v>593.05799999999999</v>
      </c>
      <c r="X38" s="7">
        <v>602.37099999999998</v>
      </c>
      <c r="Y38" s="7">
        <v>611.44200000000001</v>
      </c>
      <c r="Z38" s="7">
        <v>620.70000000000005</v>
      </c>
      <c r="AA38" s="7">
        <v>630.05700000000002</v>
      </c>
      <c r="AB38" s="7">
        <v>639.88400000000001</v>
      </c>
      <c r="AC38" s="7">
        <v>649.84</v>
      </c>
      <c r="AD38" s="7">
        <v>660.41</v>
      </c>
      <c r="AE38" s="7">
        <v>671.32</v>
      </c>
      <c r="AF38" s="8"/>
      <c r="AG38" s="6"/>
      <c r="AH38" s="9" t="s">
        <v>44</v>
      </c>
      <c r="AI38" s="10">
        <v>671.32</v>
      </c>
      <c r="AJ38" s="6"/>
      <c r="AK38" s="9" t="s">
        <v>44</v>
      </c>
      <c r="AL38" s="11">
        <v>488.11700000000002</v>
      </c>
      <c r="AM38" s="11">
        <v>573.02099999999996</v>
      </c>
      <c r="AN38" s="10">
        <v>671.32</v>
      </c>
    </row>
    <row r="39" spans="1:40" ht="13.5" customHeight="1" x14ac:dyDescent="0.25">
      <c r="A39" s="1" t="s">
        <v>50</v>
      </c>
      <c r="B39" s="13" t="s">
        <v>13</v>
      </c>
      <c r="C39" s="13" t="s">
        <v>13</v>
      </c>
      <c r="D39" s="13" t="s">
        <v>13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 t="s">
        <v>13</v>
      </c>
      <c r="AC39" s="13" t="s">
        <v>13</v>
      </c>
      <c r="AD39" s="13" t="s">
        <v>13</v>
      </c>
      <c r="AE39" s="13" t="s">
        <v>13</v>
      </c>
      <c r="AF39" s="8"/>
      <c r="AG39" s="6"/>
      <c r="AH39" s="9" t="s">
        <v>44</v>
      </c>
      <c r="AI39" s="14" t="s">
        <v>13</v>
      </c>
      <c r="AJ39" s="6"/>
      <c r="AK39" s="9" t="s">
        <v>44</v>
      </c>
      <c r="AL39" s="15" t="s">
        <v>13</v>
      </c>
      <c r="AM39" s="15" t="s">
        <v>13</v>
      </c>
      <c r="AN39" s="14" t="s">
        <v>13</v>
      </c>
    </row>
    <row r="40" spans="1:40" ht="13.5" customHeight="1" x14ac:dyDescent="0.25">
      <c r="A40" s="1" t="s">
        <v>51</v>
      </c>
      <c r="B40" s="13" t="s">
        <v>13</v>
      </c>
      <c r="C40" s="13" t="s">
        <v>13</v>
      </c>
      <c r="D40" s="13" t="s">
        <v>13</v>
      </c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 t="s">
        <v>13</v>
      </c>
      <c r="Q40" s="13" t="s">
        <v>13</v>
      </c>
      <c r="R40" s="13" t="s">
        <v>13</v>
      </c>
      <c r="S40" s="13" t="s">
        <v>13</v>
      </c>
      <c r="T40" s="13" t="s">
        <v>13</v>
      </c>
      <c r="U40" s="13" t="s">
        <v>13</v>
      </c>
      <c r="V40" s="13" t="s">
        <v>13</v>
      </c>
      <c r="W40" s="13" t="s">
        <v>13</v>
      </c>
      <c r="X40" s="13" t="s">
        <v>13</v>
      </c>
      <c r="Y40" s="13" t="s">
        <v>13</v>
      </c>
      <c r="Z40" s="13" t="s">
        <v>13</v>
      </c>
      <c r="AA40" s="13" t="s">
        <v>13</v>
      </c>
      <c r="AB40" s="13" t="s">
        <v>13</v>
      </c>
      <c r="AC40" s="13" t="s">
        <v>13</v>
      </c>
      <c r="AD40" s="13" t="s">
        <v>13</v>
      </c>
      <c r="AE40" s="13" t="s">
        <v>13</v>
      </c>
      <c r="AF40" s="8"/>
      <c r="AG40" s="6"/>
      <c r="AH40" s="9" t="s">
        <v>44</v>
      </c>
      <c r="AI40" s="14" t="s">
        <v>13</v>
      </c>
      <c r="AJ40" s="6"/>
      <c r="AK40" s="9" t="s">
        <v>44</v>
      </c>
      <c r="AL40" s="15" t="s">
        <v>13</v>
      </c>
      <c r="AM40" s="15" t="s">
        <v>13</v>
      </c>
      <c r="AN40" s="14" t="s">
        <v>13</v>
      </c>
    </row>
    <row r="41" spans="1:40" ht="13.5" customHeight="1" x14ac:dyDescent="0.25">
      <c r="A41" s="1" t="s">
        <v>52</v>
      </c>
      <c r="B41" s="13" t="s">
        <v>13</v>
      </c>
      <c r="C41" s="13" t="s">
        <v>13</v>
      </c>
      <c r="D41" s="13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 t="s">
        <v>13</v>
      </c>
      <c r="Q41" s="13" t="s">
        <v>13</v>
      </c>
      <c r="R41" s="13" t="s">
        <v>13</v>
      </c>
      <c r="S41" s="13" t="s">
        <v>13</v>
      </c>
      <c r="T41" s="13" t="s">
        <v>13</v>
      </c>
      <c r="U41" s="13" t="s">
        <v>13</v>
      </c>
      <c r="V41" s="13" t="s">
        <v>13</v>
      </c>
      <c r="W41" s="13" t="s">
        <v>13</v>
      </c>
      <c r="X41" s="13" t="s">
        <v>13</v>
      </c>
      <c r="Y41" s="13" t="s">
        <v>13</v>
      </c>
      <c r="Z41" s="13" t="s">
        <v>13</v>
      </c>
      <c r="AA41" s="13" t="s">
        <v>13</v>
      </c>
      <c r="AB41" s="13" t="s">
        <v>13</v>
      </c>
      <c r="AC41" s="13" t="s">
        <v>13</v>
      </c>
      <c r="AD41" s="13" t="s">
        <v>13</v>
      </c>
      <c r="AE41" s="13" t="s">
        <v>13</v>
      </c>
      <c r="AF41" s="8"/>
      <c r="AG41" s="6"/>
      <c r="AH41" s="9" t="s">
        <v>32</v>
      </c>
      <c r="AI41" s="14" t="s">
        <v>13</v>
      </c>
      <c r="AJ41" s="6"/>
      <c r="AK41" s="9" t="s">
        <v>32</v>
      </c>
      <c r="AL41" s="15" t="s">
        <v>13</v>
      </c>
      <c r="AM41" s="15" t="s">
        <v>13</v>
      </c>
      <c r="AN41" s="14" t="s">
        <v>13</v>
      </c>
    </row>
    <row r="42" spans="1:40" ht="13.5" customHeight="1" x14ac:dyDescent="0.25">
      <c r="A42" s="1" t="s">
        <v>53</v>
      </c>
      <c r="B42" s="16">
        <v>85.590999999999994</v>
      </c>
      <c r="C42" s="16">
        <v>77.802999999999997</v>
      </c>
      <c r="D42" s="16">
        <v>76.043000000000006</v>
      </c>
      <c r="E42" s="16">
        <v>91.825999999999993</v>
      </c>
      <c r="F42" s="16">
        <v>88.956000000000003</v>
      </c>
      <c r="G42" s="16">
        <v>90.263999999999996</v>
      </c>
      <c r="H42" s="16">
        <v>85.433000000000007</v>
      </c>
      <c r="I42" s="16">
        <v>83.373999999999995</v>
      </c>
      <c r="J42" s="16">
        <v>82.557000000000002</v>
      </c>
      <c r="K42" s="16">
        <v>82.537999999999997</v>
      </c>
      <c r="L42" s="16">
        <v>86.768000000000001</v>
      </c>
      <c r="M42" s="16">
        <v>87.843000000000004</v>
      </c>
      <c r="N42" s="16">
        <v>92.626000000000005</v>
      </c>
      <c r="O42" s="16">
        <v>91.789000000000001</v>
      </c>
      <c r="P42" s="16">
        <v>90.298000000000002</v>
      </c>
      <c r="Q42" s="16">
        <v>89.521000000000001</v>
      </c>
      <c r="R42" s="16">
        <v>90.846999999999994</v>
      </c>
      <c r="S42" s="16">
        <v>92.528000000000006</v>
      </c>
      <c r="T42" s="16">
        <v>90.622</v>
      </c>
      <c r="U42" s="16">
        <v>93.34</v>
      </c>
      <c r="V42" s="16">
        <v>96.055999999999997</v>
      </c>
      <c r="W42" s="16">
        <v>89.435000000000002</v>
      </c>
      <c r="X42" s="16">
        <v>87.322000000000003</v>
      </c>
      <c r="Y42" s="16">
        <v>86.870999999999995</v>
      </c>
      <c r="Z42" s="16">
        <v>79.510000000000005</v>
      </c>
      <c r="AA42" s="16">
        <v>78.518000000000001</v>
      </c>
      <c r="AB42" s="16">
        <v>81.400000000000006</v>
      </c>
      <c r="AC42" s="16">
        <v>81.213999999999999</v>
      </c>
      <c r="AD42" s="16">
        <v>86.802999999999997</v>
      </c>
      <c r="AE42" s="16">
        <v>90.308000000000007</v>
      </c>
      <c r="AF42" s="8"/>
      <c r="AG42" s="6"/>
      <c r="AH42" s="9" t="s">
        <v>32</v>
      </c>
      <c r="AI42" s="17">
        <v>2608.0039999999999</v>
      </c>
      <c r="AJ42" s="6"/>
      <c r="AK42" s="9" t="s">
        <v>32</v>
      </c>
      <c r="AL42" s="18">
        <v>844.38499999999999</v>
      </c>
      <c r="AM42" s="18">
        <v>906.18200000000002</v>
      </c>
      <c r="AN42" s="17">
        <v>857.43700000000001</v>
      </c>
    </row>
    <row r="43" spans="1:40" ht="13.5" customHeight="1" x14ac:dyDescent="0.25">
      <c r="A43" s="1" t="s">
        <v>54</v>
      </c>
      <c r="B43" s="7">
        <v>1.7176249859233801</v>
      </c>
      <c r="C43" s="7">
        <v>1.8023333400488</v>
      </c>
      <c r="D43" s="7">
        <v>2.0254999585449598</v>
      </c>
      <c r="E43" s="7">
        <v>2.6230000232656701</v>
      </c>
      <c r="F43" s="7">
        <v>1.3860833346843699</v>
      </c>
      <c r="G43" s="7">
        <v>2.4833750153581202</v>
      </c>
      <c r="H43" s="7">
        <v>1.94095832978686</v>
      </c>
      <c r="I43" s="7">
        <v>2.00341666489838</v>
      </c>
      <c r="J43" s="7">
        <v>2.8790000056226801</v>
      </c>
      <c r="K43" s="7">
        <v>3.8850833674271601</v>
      </c>
      <c r="L43" s="7">
        <v>3.4670416961113499</v>
      </c>
      <c r="M43" s="7">
        <v>0.53750001018246996</v>
      </c>
      <c r="N43" s="7">
        <v>2.10849994172652</v>
      </c>
      <c r="O43" s="7">
        <v>5.22045838832857</v>
      </c>
      <c r="P43" s="7">
        <v>7.9115416705607897</v>
      </c>
      <c r="Q43" s="7">
        <v>8.6870833734671606</v>
      </c>
      <c r="R43" s="7">
        <v>9.2313333551088697</v>
      </c>
      <c r="S43" s="7">
        <v>4.3634583676854799</v>
      </c>
      <c r="T43" s="7">
        <v>4.3287916903694104</v>
      </c>
      <c r="U43" s="7">
        <v>7.1498749852180996</v>
      </c>
      <c r="V43" s="7">
        <v>7.8185834089915698</v>
      </c>
      <c r="W43" s="7">
        <v>7.1937083005905098</v>
      </c>
      <c r="X43" s="7">
        <v>5.2507499853769897</v>
      </c>
      <c r="Y43" s="7">
        <v>5.3430833617846103</v>
      </c>
      <c r="Z43" s="7">
        <v>5.8334999332826003</v>
      </c>
      <c r="AA43" s="7">
        <v>5.6230832909544004</v>
      </c>
      <c r="AB43" s="7">
        <v>5.2850833808382296</v>
      </c>
      <c r="AC43" s="7">
        <v>5.0641665930549298</v>
      </c>
      <c r="AD43" s="7">
        <v>4.4295000011722303</v>
      </c>
      <c r="AE43" s="7">
        <v>5.7509999871254998</v>
      </c>
      <c r="AF43" s="8"/>
      <c r="AG43" s="6"/>
      <c r="AH43" s="9" t="s">
        <v>9</v>
      </c>
      <c r="AI43" s="10">
        <v>4.4448138915830198</v>
      </c>
      <c r="AJ43" s="6"/>
      <c r="AK43" s="9" t="s">
        <v>9</v>
      </c>
      <c r="AL43" s="11">
        <v>2.2746375025560401</v>
      </c>
      <c r="AM43" s="11">
        <v>5.30055834787587</v>
      </c>
      <c r="AN43" s="10">
        <v>5.7592458243171603</v>
      </c>
    </row>
    <row r="44" spans="1:40" ht="13.5" customHeight="1" x14ac:dyDescent="0.25">
      <c r="A44" s="19" t="s">
        <v>55</v>
      </c>
      <c r="B44" s="20" t="s">
        <v>13</v>
      </c>
      <c r="C44" s="20" t="s">
        <v>13</v>
      </c>
      <c r="D44" s="20" t="s">
        <v>13</v>
      </c>
      <c r="E44" s="20" t="s">
        <v>13</v>
      </c>
      <c r="F44" s="20" t="s">
        <v>13</v>
      </c>
      <c r="G44" s="20" t="s">
        <v>13</v>
      </c>
      <c r="H44" s="20" t="s">
        <v>13</v>
      </c>
      <c r="I44" s="20" t="s">
        <v>13</v>
      </c>
      <c r="J44" s="20" t="s">
        <v>13</v>
      </c>
      <c r="K44" s="20" t="s">
        <v>13</v>
      </c>
      <c r="L44" s="20" t="s">
        <v>13</v>
      </c>
      <c r="M44" s="20" t="s">
        <v>13</v>
      </c>
      <c r="N44" s="20" t="s">
        <v>13</v>
      </c>
      <c r="O44" s="20" t="s">
        <v>13</v>
      </c>
      <c r="P44" s="20" t="s">
        <v>13</v>
      </c>
      <c r="Q44" s="20" t="s">
        <v>13</v>
      </c>
      <c r="R44" s="20" t="s">
        <v>13</v>
      </c>
      <c r="S44" s="20" t="s">
        <v>13</v>
      </c>
      <c r="T44" s="20" t="s">
        <v>13</v>
      </c>
      <c r="U44" s="20" t="s">
        <v>13</v>
      </c>
      <c r="V44" s="20" t="s">
        <v>13</v>
      </c>
      <c r="W44" s="20" t="s">
        <v>13</v>
      </c>
      <c r="X44" s="20" t="s">
        <v>13</v>
      </c>
      <c r="Y44" s="20" t="s">
        <v>13</v>
      </c>
      <c r="Z44" s="20" t="s">
        <v>13</v>
      </c>
      <c r="AA44" s="20" t="s">
        <v>13</v>
      </c>
      <c r="AB44" s="20" t="s">
        <v>13</v>
      </c>
      <c r="AC44" s="20" t="s">
        <v>13</v>
      </c>
      <c r="AD44" s="20" t="s">
        <v>13</v>
      </c>
      <c r="AE44" s="20" t="s">
        <v>13</v>
      </c>
      <c r="AF44" s="21"/>
      <c r="AG44" s="6"/>
      <c r="AH44" s="22" t="s">
        <v>32</v>
      </c>
      <c r="AI44" s="23" t="s">
        <v>13</v>
      </c>
      <c r="AJ44" s="6"/>
      <c r="AK44" s="22" t="s">
        <v>32</v>
      </c>
      <c r="AL44" s="24" t="s">
        <v>13</v>
      </c>
      <c r="AM44" s="24" t="s">
        <v>13</v>
      </c>
      <c r="AN44" s="23" t="s">
        <v>13</v>
      </c>
    </row>
    <row r="45" spans="1:40" ht="13.5" customHeight="1" x14ac:dyDescent="0.25">
      <c r="AD45" s="25"/>
      <c r="AE45" s="25"/>
    </row>
    <row r="46" spans="1:40" ht="13.5" customHeight="1" x14ac:dyDescent="0.25">
      <c r="A46" s="50" t="s">
        <v>56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</row>
    <row r="47" spans="1:40" ht="13.5" customHeight="1" x14ac:dyDescent="0.25">
      <c r="A47" s="4" t="s">
        <v>2</v>
      </c>
      <c r="B47" s="26">
        <v>1</v>
      </c>
      <c r="C47" s="26">
        <v>2</v>
      </c>
      <c r="D47" s="26">
        <v>3</v>
      </c>
      <c r="E47" s="26">
        <v>4</v>
      </c>
      <c r="F47" s="26">
        <v>5</v>
      </c>
      <c r="G47" s="26">
        <v>6</v>
      </c>
      <c r="H47" s="26">
        <v>7</v>
      </c>
      <c r="I47" s="26">
        <v>8</v>
      </c>
      <c r="J47" s="26">
        <v>9</v>
      </c>
      <c r="K47" s="26">
        <v>10</v>
      </c>
      <c r="L47" s="26">
        <v>11</v>
      </c>
      <c r="M47" s="26">
        <v>12</v>
      </c>
      <c r="N47" s="26">
        <v>13</v>
      </c>
      <c r="O47" s="26">
        <v>14</v>
      </c>
      <c r="P47" s="26">
        <v>15</v>
      </c>
      <c r="Q47" s="26">
        <v>16</v>
      </c>
      <c r="R47" s="26">
        <v>17</v>
      </c>
      <c r="S47" s="26">
        <v>18</v>
      </c>
      <c r="T47" s="26">
        <v>19</v>
      </c>
      <c r="U47" s="26">
        <v>20</v>
      </c>
      <c r="V47" s="26">
        <v>21</v>
      </c>
      <c r="W47" s="26">
        <v>22</v>
      </c>
      <c r="X47" s="26">
        <v>23</v>
      </c>
      <c r="Y47" s="26">
        <v>24</v>
      </c>
      <c r="Z47" s="26">
        <v>25</v>
      </c>
      <c r="AA47" s="26">
        <v>26</v>
      </c>
      <c r="AB47" s="26">
        <v>27</v>
      </c>
      <c r="AC47" s="26" t="str">
        <f>IF(COLUMN()-1 &lt;=  'Макет 017'!AK1,"28","")</f>
        <v>28</v>
      </c>
      <c r="AD47" s="26" t="str">
        <f>IF(COLUMN()-1 &lt;=  'Макет 017'!AK1,"29","")</f>
        <v>29</v>
      </c>
      <c r="AE47" s="26" t="str">
        <f>IF(COLUMN()-1 &lt;=  'Макет 017'!AK1,"30","")</f>
        <v>30</v>
      </c>
      <c r="AF47" s="27" t="str">
        <f>IF(COLUMN()-1 &lt;=  'Макет 017'!AK1,"31","")</f>
        <v/>
      </c>
    </row>
    <row r="48" spans="1:40" ht="13.5" customHeight="1" x14ac:dyDescent="0.25">
      <c r="A48" s="4" t="s">
        <v>57</v>
      </c>
      <c r="B48" s="28" t="s">
        <v>13</v>
      </c>
      <c r="C48" s="28" t="s">
        <v>13</v>
      </c>
      <c r="D48" s="28" t="s">
        <v>13</v>
      </c>
      <c r="E48" s="28" t="s">
        <v>13</v>
      </c>
      <c r="F48" s="28" t="s">
        <v>13</v>
      </c>
      <c r="G48" s="28" t="s">
        <v>13</v>
      </c>
      <c r="H48" s="28" t="s">
        <v>13</v>
      </c>
      <c r="I48" s="28" t="s">
        <v>13</v>
      </c>
      <c r="J48" s="28" t="s">
        <v>13</v>
      </c>
      <c r="K48" s="28" t="s">
        <v>13</v>
      </c>
      <c r="L48" s="28" t="s">
        <v>13</v>
      </c>
      <c r="M48" s="28" t="s">
        <v>13</v>
      </c>
      <c r="N48" s="28" t="s">
        <v>13</v>
      </c>
      <c r="O48" s="28" t="s">
        <v>13</v>
      </c>
      <c r="P48" s="28" t="s">
        <v>13</v>
      </c>
      <c r="Q48" s="28" t="s">
        <v>13</v>
      </c>
      <c r="R48" s="28" t="s">
        <v>13</v>
      </c>
      <c r="S48" s="28" t="s">
        <v>13</v>
      </c>
      <c r="T48" s="28" t="s">
        <v>13</v>
      </c>
      <c r="U48" s="28" t="s">
        <v>13</v>
      </c>
      <c r="V48" s="28" t="s">
        <v>13</v>
      </c>
      <c r="W48" s="28" t="s">
        <v>13</v>
      </c>
      <c r="X48" s="28" t="s">
        <v>13</v>
      </c>
      <c r="Y48" s="28" t="s">
        <v>13</v>
      </c>
      <c r="Z48" s="28" t="s">
        <v>13</v>
      </c>
      <c r="AA48" s="28" t="s">
        <v>13</v>
      </c>
      <c r="AB48" s="28" t="s">
        <v>13</v>
      </c>
      <c r="AC48" s="28" t="s">
        <v>13</v>
      </c>
      <c r="AD48" s="28" t="s">
        <v>13</v>
      </c>
      <c r="AE48" s="28" t="s">
        <v>13</v>
      </c>
      <c r="AF48" s="29"/>
    </row>
    <row r="49" spans="1:32" ht="13.5" customHeight="1" x14ac:dyDescent="0.25">
      <c r="A49" s="4" t="s">
        <v>58</v>
      </c>
      <c r="B49" s="28" t="s">
        <v>13</v>
      </c>
      <c r="C49" s="28" t="s">
        <v>13</v>
      </c>
      <c r="D49" s="28" t="s">
        <v>13</v>
      </c>
      <c r="E49" s="28" t="s">
        <v>13</v>
      </c>
      <c r="F49" s="28" t="s">
        <v>13</v>
      </c>
      <c r="G49" s="28" t="s">
        <v>13</v>
      </c>
      <c r="H49" s="28" t="s">
        <v>13</v>
      </c>
      <c r="I49" s="28" t="s">
        <v>13</v>
      </c>
      <c r="J49" s="28" t="s">
        <v>13</v>
      </c>
      <c r="K49" s="28" t="s">
        <v>13</v>
      </c>
      <c r="L49" s="28" t="s">
        <v>13</v>
      </c>
      <c r="M49" s="28" t="s">
        <v>13</v>
      </c>
      <c r="N49" s="28" t="s">
        <v>13</v>
      </c>
      <c r="O49" s="28" t="s">
        <v>13</v>
      </c>
      <c r="P49" s="28" t="s">
        <v>13</v>
      </c>
      <c r="Q49" s="28" t="s">
        <v>13</v>
      </c>
      <c r="R49" s="28" t="s">
        <v>13</v>
      </c>
      <c r="S49" s="28" t="s">
        <v>13</v>
      </c>
      <c r="T49" s="28" t="s">
        <v>13</v>
      </c>
      <c r="U49" s="28" t="s">
        <v>13</v>
      </c>
      <c r="V49" s="28" t="s">
        <v>13</v>
      </c>
      <c r="W49" s="28" t="s">
        <v>13</v>
      </c>
      <c r="X49" s="28" t="s">
        <v>13</v>
      </c>
      <c r="Y49" s="28" t="s">
        <v>13</v>
      </c>
      <c r="Z49" s="28" t="s">
        <v>13</v>
      </c>
      <c r="AA49" s="28" t="s">
        <v>13</v>
      </c>
      <c r="AB49" s="28" t="s">
        <v>13</v>
      </c>
      <c r="AC49" s="28" t="s">
        <v>13</v>
      </c>
      <c r="AD49" s="28" t="s">
        <v>13</v>
      </c>
      <c r="AE49" s="28" t="s">
        <v>13</v>
      </c>
      <c r="AF49" s="29"/>
    </row>
    <row r="50" spans="1:32" ht="13.5" customHeight="1" x14ac:dyDescent="0.25">
      <c r="A50" s="4" t="s">
        <v>59</v>
      </c>
      <c r="B50" s="28" t="s">
        <v>13</v>
      </c>
      <c r="C50" s="28" t="s">
        <v>13</v>
      </c>
      <c r="D50" s="28" t="s">
        <v>13</v>
      </c>
      <c r="E50" s="28" t="s">
        <v>13</v>
      </c>
      <c r="F50" s="28" t="s">
        <v>13</v>
      </c>
      <c r="G50" s="28" t="s">
        <v>13</v>
      </c>
      <c r="H50" s="28" t="s">
        <v>13</v>
      </c>
      <c r="I50" s="28" t="s">
        <v>13</v>
      </c>
      <c r="J50" s="28" t="s">
        <v>13</v>
      </c>
      <c r="K50" s="28" t="s">
        <v>13</v>
      </c>
      <c r="L50" s="28" t="s">
        <v>13</v>
      </c>
      <c r="M50" s="28" t="s">
        <v>13</v>
      </c>
      <c r="N50" s="28" t="s">
        <v>13</v>
      </c>
      <c r="O50" s="28" t="s">
        <v>13</v>
      </c>
      <c r="P50" s="28" t="s">
        <v>13</v>
      </c>
      <c r="Q50" s="28" t="s">
        <v>13</v>
      </c>
      <c r="R50" s="28" t="s">
        <v>13</v>
      </c>
      <c r="S50" s="28" t="s">
        <v>13</v>
      </c>
      <c r="T50" s="28" t="s">
        <v>13</v>
      </c>
      <c r="U50" s="28" t="s">
        <v>13</v>
      </c>
      <c r="V50" s="28" t="s">
        <v>13</v>
      </c>
      <c r="W50" s="28" t="s">
        <v>13</v>
      </c>
      <c r="X50" s="28" t="s">
        <v>13</v>
      </c>
      <c r="Y50" s="28" t="s">
        <v>13</v>
      </c>
      <c r="Z50" s="28" t="s">
        <v>13</v>
      </c>
      <c r="AA50" s="28" t="s">
        <v>13</v>
      </c>
      <c r="AB50" s="28" t="s">
        <v>13</v>
      </c>
      <c r="AC50" s="28" t="s">
        <v>13</v>
      </c>
      <c r="AD50" s="28" t="s">
        <v>13</v>
      </c>
      <c r="AE50" s="28" t="s">
        <v>13</v>
      </c>
      <c r="AF50" s="29"/>
    </row>
    <row r="51" spans="1:32" ht="13.5" customHeight="1" x14ac:dyDescent="0.25">
      <c r="A51" s="30" t="s">
        <v>60</v>
      </c>
      <c r="B51" s="31" t="s">
        <v>13</v>
      </c>
      <c r="C51" s="31" t="s">
        <v>13</v>
      </c>
      <c r="D51" s="31" t="s">
        <v>13</v>
      </c>
      <c r="E51" s="31" t="s">
        <v>13</v>
      </c>
      <c r="F51" s="31" t="s">
        <v>13</v>
      </c>
      <c r="G51" s="31" t="s">
        <v>13</v>
      </c>
      <c r="H51" s="31" t="s">
        <v>13</v>
      </c>
      <c r="I51" s="31" t="s">
        <v>13</v>
      </c>
      <c r="J51" s="31" t="s">
        <v>13</v>
      </c>
      <c r="K51" s="31" t="s">
        <v>13</v>
      </c>
      <c r="L51" s="31" t="s">
        <v>13</v>
      </c>
      <c r="M51" s="31" t="s">
        <v>13</v>
      </c>
      <c r="N51" s="31" t="s">
        <v>13</v>
      </c>
      <c r="O51" s="31" t="s">
        <v>13</v>
      </c>
      <c r="P51" s="31" t="s">
        <v>13</v>
      </c>
      <c r="Q51" s="31" t="s">
        <v>13</v>
      </c>
      <c r="R51" s="31" t="s">
        <v>13</v>
      </c>
      <c r="S51" s="31" t="s">
        <v>13</v>
      </c>
      <c r="T51" s="31" t="s">
        <v>13</v>
      </c>
      <c r="U51" s="31" t="s">
        <v>13</v>
      </c>
      <c r="V51" s="31" t="s">
        <v>13</v>
      </c>
      <c r="W51" s="31" t="s">
        <v>13</v>
      </c>
      <c r="X51" s="31" t="s">
        <v>13</v>
      </c>
      <c r="Y51" s="31" t="s">
        <v>13</v>
      </c>
      <c r="Z51" s="31" t="s">
        <v>13</v>
      </c>
      <c r="AA51" s="31" t="s">
        <v>13</v>
      </c>
      <c r="AB51" s="31" t="s">
        <v>13</v>
      </c>
      <c r="AC51" s="31" t="s">
        <v>13</v>
      </c>
      <c r="AD51" s="31" t="s">
        <v>13</v>
      </c>
      <c r="AE51" s="31" t="s">
        <v>13</v>
      </c>
      <c r="AF51" s="32"/>
    </row>
    <row r="52" spans="1:32" ht="13.5" customHeight="1" x14ac:dyDescent="0.25">
      <c r="AD52" s="25"/>
      <c r="AE52" s="25"/>
    </row>
    <row r="53" spans="1:32" ht="13.5" customHeight="1" x14ac:dyDescent="0.25">
      <c r="AD53" s="25"/>
      <c r="AE53" s="25"/>
    </row>
    <row r="54" spans="1:32" ht="13.5" customHeight="1" x14ac:dyDescent="0.25">
      <c r="AD54" s="25"/>
      <c r="AE54" s="25"/>
    </row>
    <row r="55" spans="1:32" ht="13.5" customHeight="1" x14ac:dyDescent="0.25">
      <c r="AD55" s="25"/>
      <c r="AE55" s="25"/>
    </row>
    <row r="56" spans="1:32" ht="13.5" customHeight="1" x14ac:dyDescent="0.25">
      <c r="AD56" s="25"/>
      <c r="AE56" s="25"/>
    </row>
    <row r="57" spans="1:32" ht="13.5" customHeight="1" x14ac:dyDescent="0.25">
      <c r="AD57" s="25"/>
      <c r="AE57" s="25"/>
    </row>
    <row r="58" spans="1:32" ht="13.5" customHeight="1" x14ac:dyDescent="0.25">
      <c r="AD58" s="25"/>
      <c r="AE58" s="25"/>
    </row>
    <row r="59" spans="1:32" ht="13.5" customHeight="1" x14ac:dyDescent="0.25">
      <c r="AD59" s="25"/>
      <c r="AE59" s="25"/>
    </row>
    <row r="60" spans="1:32" ht="13.5" customHeight="1" x14ac:dyDescent="0.25">
      <c r="AD60" s="25"/>
      <c r="AE60" s="25"/>
    </row>
    <row r="61" spans="1:32" ht="13.5" customHeight="1" x14ac:dyDescent="0.25">
      <c r="AD61" s="25"/>
      <c r="AE61" s="25"/>
    </row>
    <row r="62" spans="1:32" ht="13.5" customHeight="1" x14ac:dyDescent="0.25">
      <c r="AD62" s="25"/>
      <c r="AE62" s="25"/>
    </row>
    <row r="63" spans="1:32" ht="13.5" customHeight="1" x14ac:dyDescent="0.25">
      <c r="AD63" s="25"/>
      <c r="AE63" s="25"/>
    </row>
    <row r="64" spans="1:32" ht="13.5" customHeight="1" x14ac:dyDescent="0.25">
      <c r="AD64" s="25"/>
      <c r="AE64" s="25"/>
    </row>
    <row r="65" spans="30:31" ht="13.5" customHeight="1" x14ac:dyDescent="0.25">
      <c r="AD65" s="25"/>
      <c r="AE65" s="25"/>
    </row>
    <row r="66" spans="30:31" ht="13.5" customHeight="1" x14ac:dyDescent="0.25">
      <c r="AD66" s="25"/>
      <c r="AE66" s="25"/>
    </row>
    <row r="67" spans="30:31" ht="13.5" customHeight="1" x14ac:dyDescent="0.25">
      <c r="AD67" s="25"/>
      <c r="AE67" s="25"/>
    </row>
    <row r="68" spans="30:31" ht="13.5" customHeight="1" x14ac:dyDescent="0.25">
      <c r="AD68" s="25"/>
      <c r="AE68" s="25"/>
    </row>
    <row r="69" spans="30:31" ht="13.5" customHeight="1" x14ac:dyDescent="0.25">
      <c r="AD69" s="25"/>
      <c r="AE69" s="25"/>
    </row>
    <row r="70" spans="30:31" ht="13.5" customHeight="1" x14ac:dyDescent="0.25">
      <c r="AD70" s="25"/>
      <c r="AE70" s="25"/>
    </row>
    <row r="71" spans="30:31" ht="13.5" customHeight="1" x14ac:dyDescent="0.25">
      <c r="AD71" s="25"/>
      <c r="AE71" s="25"/>
    </row>
    <row r="72" spans="30:31" ht="13.5" customHeight="1" x14ac:dyDescent="0.25">
      <c r="AD72" s="25"/>
      <c r="AE72" s="25"/>
    </row>
    <row r="73" spans="30:31" ht="13.5" customHeight="1" x14ac:dyDescent="0.25">
      <c r="AD73" s="25"/>
      <c r="AE73" s="25"/>
    </row>
    <row r="74" spans="30:31" ht="13.5" customHeight="1" x14ac:dyDescent="0.25">
      <c r="AD74" s="25"/>
      <c r="AE74" s="25"/>
    </row>
    <row r="75" spans="30:31" ht="13.5" customHeight="1" x14ac:dyDescent="0.25">
      <c r="AD75" s="25"/>
      <c r="AE75" s="25"/>
    </row>
    <row r="76" spans="30:31" ht="13.5" customHeight="1" x14ac:dyDescent="0.25">
      <c r="AD76" s="25"/>
      <c r="AE76" s="25"/>
    </row>
    <row r="77" spans="30:31" ht="13.5" customHeight="1" x14ac:dyDescent="0.25">
      <c r="AD77" s="25"/>
      <c r="AE77" s="25"/>
    </row>
    <row r="78" spans="30:31" ht="13.5" customHeight="1" x14ac:dyDescent="0.25">
      <c r="AD78" s="25"/>
      <c r="AE78" s="25"/>
    </row>
    <row r="79" spans="30:31" ht="13.5" customHeight="1" x14ac:dyDescent="0.25">
      <c r="AD79" s="25"/>
      <c r="AE79" s="25"/>
    </row>
    <row r="80" spans="30:31" ht="13.5" customHeight="1" x14ac:dyDescent="0.25">
      <c r="AD80" s="25"/>
      <c r="AE80" s="25"/>
    </row>
    <row r="81" spans="30:31" ht="13.5" customHeight="1" x14ac:dyDescent="0.25">
      <c r="AD81" s="25"/>
      <c r="AE81" s="25"/>
    </row>
    <row r="82" spans="30:31" ht="13.5" customHeight="1" x14ac:dyDescent="0.25">
      <c r="AD82" s="25"/>
      <c r="AE82" s="25"/>
    </row>
    <row r="83" spans="30:31" ht="13.5" customHeight="1" x14ac:dyDescent="0.25">
      <c r="AD83" s="25"/>
      <c r="AE83" s="25"/>
    </row>
    <row r="84" spans="30:31" ht="13.5" customHeight="1" x14ac:dyDescent="0.25">
      <c r="AD84" s="25"/>
      <c r="AE84" s="25"/>
    </row>
    <row r="85" spans="30:31" ht="13.5" customHeight="1" x14ac:dyDescent="0.25">
      <c r="AD85" s="25"/>
      <c r="AE85" s="25"/>
    </row>
    <row r="86" spans="30:31" ht="13.5" customHeight="1" x14ac:dyDescent="0.25">
      <c r="AD86" s="25"/>
      <c r="AE86" s="25"/>
    </row>
    <row r="87" spans="30:31" ht="13.5" customHeight="1" x14ac:dyDescent="0.25">
      <c r="AD87" s="25"/>
      <c r="AE87" s="25"/>
    </row>
    <row r="88" spans="30:31" ht="13.5" customHeight="1" x14ac:dyDescent="0.25"/>
    <row r="89" spans="30:31" ht="13.5" customHeight="1" x14ac:dyDescent="0.25"/>
    <row r="90" spans="30:31" ht="13.5" customHeight="1" x14ac:dyDescent="0.25"/>
    <row r="91" spans="30:31" ht="13.5" customHeight="1" x14ac:dyDescent="0.25"/>
    <row r="92" spans="30:31" ht="13.5" customHeight="1" x14ac:dyDescent="0.25"/>
    <row r="93" spans="30:31" ht="13.5" customHeight="1" x14ac:dyDescent="0.25"/>
    <row r="94" spans="30:31" ht="13.5" customHeight="1" x14ac:dyDescent="0.25"/>
    <row r="95" spans="30:31" ht="13.5" customHeight="1" x14ac:dyDescent="0.25"/>
    <row r="96" spans="30:31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26" spans="1:1" x14ac:dyDescent="0.25">
      <c r="A126" s="33"/>
    </row>
    <row r="127" spans="1:1" x14ac:dyDescent="0.25">
      <c r="A127" s="34"/>
    </row>
    <row r="128" spans="1:1" x14ac:dyDescent="0.25">
      <c r="A128" s="34"/>
    </row>
  </sheetData>
  <mergeCells count="3">
    <mergeCell ref="A1:P1"/>
    <mergeCell ref="Q1:AF1"/>
    <mergeCell ref="A46:AF46"/>
  </mergeCells>
  <pageMargins left="0.7" right="0.7" top="0.75" bottom="0.75" header="0.3" footer="0.3"/>
  <pageSetup paperSize="9" scale="30" fitToHeight="2" orientation="landscape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1"/>
  <sheetViews>
    <sheetView zoomScaleNormal="100" workbookViewId="0">
      <selection activeCell="A47" sqref="A47"/>
    </sheetView>
  </sheetViews>
  <sheetFormatPr defaultRowHeight="15" x14ac:dyDescent="0.25"/>
  <cols>
    <col min="1" max="31" width="20.28515625" customWidth="1"/>
    <col min="36" max="36" width="7.5703125" customWidth="1"/>
    <col min="37" max="40" width="8.7109375" hidden="1" customWidth="1"/>
    <col min="41" max="41" width="8.85546875" hidden="1" customWidth="1"/>
    <col min="42" max="42" width="8.7109375" hidden="1" customWidth="1"/>
    <col min="43" max="43" width="8.7109375" customWidth="1"/>
    <col min="44" max="44" width="9" customWidth="1"/>
    <col min="45" max="45" width="8.85546875" customWidth="1"/>
    <col min="46" max="46" width="8.7109375" customWidth="1"/>
  </cols>
  <sheetData>
    <row r="1" spans="1:42" x14ac:dyDescent="0.25">
      <c r="A1" s="35" t="str">
        <f>IF(COLUMN() &lt;= $AK$1,CONCATENATE("//017:",CONCATENATE( TEXT(DATEVALUE(1&amp;LEFT(Ведомость!$Q$1,4)),"ММ"),"01"),":338731:++"), "")</f>
        <v>//017:0401:338731:++</v>
      </c>
      <c r="B1" s="35" t="str">
        <f>IF(COLUMN() &lt;= $AK$1,CONCATENATE("//017:",CONCATENATE( TEXT(DATEVALUE(1&amp;LEFT(Ведомость!$Q$1,4)),"ММ"),"02"),":338731:++"), "")</f>
        <v>//017:0402:338731:++</v>
      </c>
      <c r="C1" s="35" t="str">
        <f>IF(COLUMN() &lt;= $AK$1,CONCATENATE("//017:",CONCATENATE( TEXT(DATEVALUE(1&amp;LEFT(Ведомость!$Q$1,4)),"ММ"),"03"),":338731:++"), "")</f>
        <v>//017:0403:338731:++</v>
      </c>
      <c r="D1" s="35" t="str">
        <f>IF(COLUMN() &lt;= $AK$1,CONCATENATE("//017:",CONCATENATE( TEXT(DATEVALUE(1&amp;LEFT(Ведомость!$Q$1,4)),"ММ"),"04"),":338731:++"), "")</f>
        <v>//017:0404:338731:++</v>
      </c>
      <c r="E1" s="35" t="str">
        <f>IF(COLUMN() &lt;= $AK$1,CONCATENATE("//017:",CONCATENATE( TEXT(DATEVALUE(1&amp;LEFT(Ведомость!$Q$1,4)),"ММ"),"05"),":338731:++"), "")</f>
        <v>//017:0405:338731:++</v>
      </c>
      <c r="F1" s="35" t="str">
        <f>IF(COLUMN() &lt;= $AK$1,CONCATENATE("//017:",CONCATENATE( TEXT(DATEVALUE(1&amp;LEFT(Ведомость!$Q$1,4)),"ММ"),"06"),":338731:++"), "")</f>
        <v>//017:0406:338731:++</v>
      </c>
      <c r="G1" s="35" t="str">
        <f>IF(COLUMN() &lt;= $AK$1,CONCATENATE("//017:",CONCATENATE( TEXT(DATEVALUE(1&amp;LEFT(Ведомость!$Q$1,4)),"ММ"),"07"),":338731:++"), "")</f>
        <v>//017:0407:338731:++</v>
      </c>
      <c r="H1" s="35" t="str">
        <f>IF(COLUMN() &lt;= $AK$1,CONCATENATE("//017:",CONCATENATE( TEXT(DATEVALUE(1&amp;LEFT(Ведомость!$Q$1,4)),"ММ"),"08"),":338731:++"), "")</f>
        <v>//017:0408:338731:++</v>
      </c>
      <c r="I1" s="35" t="str">
        <f>IF(COLUMN() &lt;= $AK$1,CONCATENATE("//017:",CONCATENATE( TEXT(DATEVALUE(1&amp;LEFT(Ведомость!$Q$1,4)),"ММ"),"09"),":338731:++"), "")</f>
        <v>//017:0409:338731:++</v>
      </c>
      <c r="J1" s="35" t="str">
        <f>IF(COLUMN() &lt;= $AK$1,CONCATENATE("//017:",CONCATENATE( TEXT(DATEVALUE(1&amp;LEFT(Ведомость!$Q$1,4)),"ММ"),"10"),":338731:++"), "")</f>
        <v>//017:0410:338731:++</v>
      </c>
      <c r="K1" s="35" t="str">
        <f>IF(COLUMN() &lt;= $AK$1,CONCATENATE("//017:",CONCATENATE( TEXT(DATEVALUE(1&amp;LEFT(Ведомость!$Q$1,4)),"ММ"),"11"),":338731:++"), "")</f>
        <v>//017:0411:338731:++</v>
      </c>
      <c r="L1" s="35" t="str">
        <f>IF(COLUMN() &lt;= $AK$1,CONCATENATE("//017:",CONCATENATE( TEXT(DATEVALUE(1&amp;LEFT(Ведомость!$Q$1,4)),"ММ"),"12"),":338731:++"), "")</f>
        <v>//017:0412:338731:++</v>
      </c>
      <c r="M1" s="35" t="str">
        <f>IF(COLUMN() &lt;= $AK$1,CONCATENATE("//017:",CONCATENATE( TEXT(DATEVALUE(1&amp;LEFT(Ведомость!$Q$1,4)),"ММ"),"13"),":338731:++"), "")</f>
        <v>//017:0413:338731:++</v>
      </c>
      <c r="N1" s="35" t="str">
        <f>IF(COLUMN() &lt;= $AK$1,CONCATENATE("//017:",CONCATENATE( TEXT(DATEVALUE(1&amp;LEFT(Ведомость!$Q$1,4)),"ММ"),"14"),":338731:++"), "")</f>
        <v>//017:0414:338731:++</v>
      </c>
      <c r="O1" s="35" t="str">
        <f>IF(COLUMN() &lt;= $AK$1,CONCATENATE("//017:",CONCATENATE( TEXT(DATEVALUE(1&amp;LEFT(Ведомость!$Q$1,4)),"ММ"),"15"),":338731:++"), "")</f>
        <v>//017:0415:338731:++</v>
      </c>
      <c r="P1" s="35" t="str">
        <f>IF(COLUMN() &lt;= $AK$1,CONCATENATE("//017:",CONCATENATE( TEXT(DATEVALUE(1&amp;LEFT(Ведомость!$Q$1,4)),"ММ"),"16"),":338731:++"), "")</f>
        <v>//017:0416:338731:++</v>
      </c>
      <c r="Q1" s="35" t="str">
        <f>IF(COLUMN() &lt;= $AK$1,CONCATENATE("//017:",CONCATENATE( TEXT(DATEVALUE(1&amp;LEFT(Ведомость!$Q$1,4)),"ММ"),"17"),":338731:++"), "")</f>
        <v>//017:0417:338731:++</v>
      </c>
      <c r="R1" s="35" t="str">
        <f>IF(COLUMN() &lt;= $AK$1,CONCATENATE("//017:",CONCATENATE( TEXT(DATEVALUE(1&amp;LEFT(Ведомость!$Q$1,4)),"ММ"),"18"),":338731:++"), "")</f>
        <v>//017:0418:338731:++</v>
      </c>
      <c r="S1" s="35" t="str">
        <f>IF(COLUMN() &lt;= $AK$1,CONCATENATE("//017:",CONCATENATE( TEXT(DATEVALUE(1&amp;LEFT(Ведомость!$Q$1,4)),"ММ"),"19"),":338731:++"), "")</f>
        <v>//017:0419:338731:++</v>
      </c>
      <c r="T1" s="35" t="str">
        <f>IF(COLUMN() &lt;= $AK$1,CONCATENATE("//017:",CONCATENATE( TEXT(DATEVALUE(1&amp;LEFT(Ведомость!$Q$1,4)),"ММ"),"20"),":338731:++"), "")</f>
        <v>//017:0420:338731:++</v>
      </c>
      <c r="U1" s="35" t="str">
        <f>IF(COLUMN() &lt;= $AK$1,CONCATENATE("//017:",CONCATENATE( TEXT(DATEVALUE(1&amp;LEFT(Ведомость!$Q$1,4)),"ММ"),"21"),":338731:++"), "")</f>
        <v>//017:0421:338731:++</v>
      </c>
      <c r="V1" s="35" t="str">
        <f>IF(COLUMN() &lt;= $AK$1,CONCATENATE("//017:",CONCATENATE( TEXT(DATEVALUE(1&amp;LEFT(Ведомость!$Q$1,4)),"ММ"),"22"),":338731:++"), "")</f>
        <v>//017:0422:338731:++</v>
      </c>
      <c r="W1" s="35" t="str">
        <f>IF(COLUMN() &lt;= $AK$1,CONCATENATE("//017:",CONCATENATE( TEXT(DATEVALUE(1&amp;LEFT(Ведомость!$Q$1,4)),"ММ"),"23"),":338731:++"), "")</f>
        <v>//017:0423:338731:++</v>
      </c>
      <c r="X1" s="35" t="str">
        <f>IF(COLUMN() &lt;= $AK$1,CONCATENATE("//017:",CONCATENATE( TEXT(DATEVALUE(1&amp;LEFT(Ведомость!$Q$1,4)),"ММ"),"24"),":338731:++"), "")</f>
        <v>//017:0424:338731:++</v>
      </c>
      <c r="Y1" s="35" t="str">
        <f>IF(COLUMN() &lt;= $AK$1,CONCATENATE("//017:",CONCATENATE( TEXT(DATEVALUE(1&amp;LEFT(Ведомость!$Q$1,4)),"ММ"),"25"),":338731:++"), "")</f>
        <v>//017:0425:338731:++</v>
      </c>
      <c r="Z1" s="35" t="str">
        <f>IF(COLUMN() &lt;= $AK$1,CONCATENATE("//017:",CONCATENATE( TEXT(DATEVALUE(1&amp;LEFT(Ведомость!$Q$1,4)),"ММ"),"26"),":338731:++"), "")</f>
        <v>//017:0426:338731:++</v>
      </c>
      <c r="AA1" s="35" t="str">
        <f>IF(COLUMN() &lt;= $AK$1,CONCATENATE("//017:",CONCATENATE( TEXT(DATEVALUE(1&amp;LEFT(Ведомость!$Q$1,4)),"ММ"),"27"),":338731:++"), "")</f>
        <v>//017:0427:338731:++</v>
      </c>
      <c r="AB1" s="35" t="str">
        <f>IF(COLUMN() &lt;= $AK$1,CONCATENATE("//017:",CONCATENATE( TEXT(DATEVALUE(1&amp;LEFT(Ведомость!$Q$1,4)),"ММ"),"28"),":338731:++"), "")</f>
        <v>//017:0428:338731:++</v>
      </c>
      <c r="AC1" s="35" t="str">
        <f>IF(COLUMN() &lt;= $AK$1,CONCATENATE("//017:",CONCATENATE( TEXT(DATEVALUE(1&amp;LEFT(Ведомость!$Q$1,4)),"ММ"),"29"),":338731:++"), "")</f>
        <v>//017:0429:338731:++</v>
      </c>
      <c r="AD1" s="35" t="str">
        <f>IF(COLUMN() &lt;= $AK$1,CONCATENATE("//017:",CONCATENATE( TEXT(DATEVALUE(1&amp;LEFT(Ведомость!$Q$1,4)),"ММ"),"30"),":338731:++"), "")</f>
        <v>//017:0430:338731:++</v>
      </c>
      <c r="AE1" s="35" t="str">
        <f>IF(COLUMN() &lt;= $AK$1,CONCATENATE("//017:",CONCATENATE( TEXT(DATEVALUE(1&amp;LEFT(Ведомость!$Q$1,4)),"ММ"),"31"),":338731:++"), "")</f>
        <v/>
      </c>
      <c r="AK1">
        <f>DAY(DATE(YEAR(DATEVALUE("1."&amp;RIGHT(Ведомость!Q1,4))),MONTH(DATEVALUE(1&amp;LEFT(Ведомость!Q1,4)))+1,0))</f>
        <v>30</v>
      </c>
      <c r="AL1" s="36">
        <v>108.271708806356</v>
      </c>
      <c r="AM1" s="36">
        <v>108.25163269043</v>
      </c>
      <c r="AN1" s="36">
        <v>93.262008666992003</v>
      </c>
      <c r="AO1" s="36">
        <v>93.22728729248</v>
      </c>
      <c r="AP1" s="37" t="s">
        <v>13</v>
      </c>
    </row>
    <row r="2" spans="1:42" x14ac:dyDescent="0.25">
      <c r="A2" s="35" t="str">
        <f>CONCATENATE("(10):",IFERROR(ROUND(Ведомость!C48,2),0),":")</f>
        <v>(10):0:</v>
      </c>
      <c r="B2" s="35" t="str">
        <f>CONCATENATE("(10):",IFERROR(ROUND(Ведомость!D48,2),0),":")</f>
        <v>(10):0:</v>
      </c>
      <c r="C2" s="35" t="str">
        <f>CONCATENATE("(10):",IFERROR(ROUND(Ведомость!E48,2),0),":")</f>
        <v>(10):0:</v>
      </c>
      <c r="D2" s="35" t="str">
        <f>CONCATENATE("(10):",IFERROR(ROUND(Ведомость!F48,2),0),":")</f>
        <v>(10):0:</v>
      </c>
      <c r="E2" s="35" t="str">
        <f>CONCATENATE("(10):",IFERROR(ROUND(Ведомость!G48,2),0),":")</f>
        <v>(10):0:</v>
      </c>
      <c r="F2" s="35" t="str">
        <f>CONCATENATE("(10):",IFERROR(ROUND(Ведомость!H48,2),0),":")</f>
        <v>(10):0:</v>
      </c>
      <c r="G2" s="35" t="str">
        <f>CONCATENATE("(10):",IFERROR(ROUND(Ведомость!I48,2),0),":")</f>
        <v>(10):0:</v>
      </c>
      <c r="H2" s="35" t="str">
        <f>CONCATENATE("(10):",IFERROR(ROUND(Ведомость!J48,2),0),":")</f>
        <v>(10):0:</v>
      </c>
      <c r="I2" s="35" t="str">
        <f>CONCATENATE("(10):",IFERROR(ROUND(Ведомость!K48,2),0),":")</f>
        <v>(10):0:</v>
      </c>
      <c r="J2" s="35" t="str">
        <f>CONCATENATE("(10):",IFERROR(ROUND(Ведомость!L48,2),0),":")</f>
        <v>(10):0:</v>
      </c>
      <c r="K2" s="35" t="str">
        <f>CONCATENATE("(10):",IFERROR(ROUND(Ведомость!M48,2),0),":")</f>
        <v>(10):0:</v>
      </c>
      <c r="L2" s="35" t="str">
        <f>CONCATENATE("(10):",IFERROR(ROUND(Ведомость!N48,2),0),":")</f>
        <v>(10):0:</v>
      </c>
      <c r="M2" s="35" t="str">
        <f>CONCATENATE("(10):",IFERROR(ROUND(Ведомость!O48,2),0),":")</f>
        <v>(10):0:</v>
      </c>
      <c r="N2" s="35" t="str">
        <f>CONCATENATE("(10):",IFERROR(ROUND(Ведомость!P48,2),0),":")</f>
        <v>(10):0:</v>
      </c>
      <c r="O2" s="35" t="str">
        <f>CONCATENATE("(10):",IFERROR(ROUND(Ведомость!Q48,2),0),":")</f>
        <v>(10):0:</v>
      </c>
      <c r="P2" s="35" t="str">
        <f>CONCATENATE("(10):",IFERROR(ROUND(Ведомость!R48,2),0),":")</f>
        <v>(10):0:</v>
      </c>
      <c r="Q2" s="35" t="str">
        <f>CONCATENATE("(10):",IFERROR(ROUND(Ведомость!S48,2),0),":")</f>
        <v>(10):0:</v>
      </c>
      <c r="R2" s="35" t="str">
        <f>CONCATENATE("(10):",IFERROR(ROUND(Ведомость!T48,2),0),":")</f>
        <v>(10):0:</v>
      </c>
      <c r="S2" s="35" t="str">
        <f>CONCATENATE("(10):",IFERROR(ROUND(Ведомость!U48,2),0),":")</f>
        <v>(10):0:</v>
      </c>
      <c r="T2" s="35" t="str">
        <f>CONCATENATE("(10):",IFERROR(ROUND(Ведомость!V48,2),0),":")</f>
        <v>(10):0:</v>
      </c>
      <c r="U2" s="35" t="str">
        <f>CONCATENATE("(10):",IFERROR(ROUND(Ведомость!W48,2),0),":")</f>
        <v>(10):0:</v>
      </c>
      <c r="V2" s="35" t="str">
        <f>CONCATENATE("(10):",IFERROR(ROUND(Ведомость!X48,2),0),":")</f>
        <v>(10):0:</v>
      </c>
      <c r="W2" s="35" t="str">
        <f>CONCATENATE("(10):",IFERROR(ROUND(Ведомость!Y48,2),0),":")</f>
        <v>(10):0:</v>
      </c>
      <c r="X2" s="35" t="str">
        <f>CONCATENATE("(10):",IFERROR(ROUND(Ведомость!Z48,2),0),":")</f>
        <v>(10):0:</v>
      </c>
      <c r="Y2" s="35" t="str">
        <f>CONCATENATE("(10):",IFERROR(ROUND(Ведомость!AA48,2),0),":")</f>
        <v>(10):0:</v>
      </c>
      <c r="Z2" s="35" t="str">
        <f>CONCATENATE("(10):",IFERROR(ROUND(Ведомость!AB48,2),0),":")</f>
        <v>(10):0:</v>
      </c>
      <c r="AA2" s="35" t="str">
        <f>CONCATENATE("(10):",IFERROR(ROUND(Ведомость!AC48,2),0),":")</f>
        <v>(10):0:</v>
      </c>
      <c r="AB2" s="35" t="str">
        <f>CONCATENATE("(10):",IFERROR(ROUND(Ведомость!AD48,2),0),":")</f>
        <v>(10):0:</v>
      </c>
      <c r="AC2" s="35" t="str">
        <f>IF(COLUMN() &lt;= $AK$1,CONCATENATE("(10):",IFERROR(ROUND(Ведомость!AE48,2),0),":"),"")</f>
        <v>(10):0:</v>
      </c>
      <c r="AD2" s="35" t="str">
        <f>IF(COLUMN() &lt;= $AK$1,CONCATENATE("(10):",IFERROR(ROUND(Ведомость!AF48,2),0),":"),"")</f>
        <v>(10):0:</v>
      </c>
      <c r="AE2" s="35" t="str">
        <f ca="1">IF(COLUMN() &lt;= $AK$1,CONCATENATE("(10):",IFERROR(ROUND(IF(Ведомость!AG2="", CELL("содержимое",AP1),Ведомость!AG48),2),"0"),":"),"")</f>
        <v/>
      </c>
      <c r="AL2" s="36">
        <v>108.42191238403301</v>
      </c>
      <c r="AM2" s="36">
        <v>108.408751678467</v>
      </c>
      <c r="AN2" s="36">
        <v>92.892219543456903</v>
      </c>
      <c r="AO2" s="36">
        <v>92.870085906982297</v>
      </c>
    </row>
    <row r="3" spans="1:42" x14ac:dyDescent="0.25">
      <c r="A3" s="35" t="str">
        <f>CONCATENATE("(14):",IFERROR(ROUND(Ведомость!C3,2),0),":")</f>
        <v>(14):103,07:</v>
      </c>
      <c r="B3" s="35" t="str">
        <f>CONCATENATE("(14):",IFERROR(ROUND(Ведомость!D3,2),0),":")</f>
        <v>(14):103,05:</v>
      </c>
      <c r="C3" s="35" t="str">
        <f>CONCATENATE("(14):",IFERROR(ROUND(Ведомость!E3,2),0),":")</f>
        <v>(14):103:</v>
      </c>
      <c r="D3" s="35" t="str">
        <f>CONCATENATE("(14):",IFERROR(ROUND(Ведомость!F3,2),0),":")</f>
        <v>(14):102,86:</v>
      </c>
      <c r="E3" s="35" t="str">
        <f>CONCATENATE("(14):",IFERROR(ROUND(Ведомость!G3,2),0),":")</f>
        <v>(14):102,81:</v>
      </c>
      <c r="F3" s="35" t="str">
        <f>CONCATENATE("(14):",IFERROR(ROUND(Ведомость!H3,2),0),":")</f>
        <v>(14):102,72:</v>
      </c>
      <c r="G3" s="35" t="str">
        <f>CONCATENATE("(14):",IFERROR(ROUND(Ведомость!I3,2),0),":")</f>
        <v>(14):102,69:</v>
      </c>
      <c r="H3" s="35" t="str">
        <f>CONCATENATE("(14):",IFERROR(ROUND(Ведомость!J3,2),0),":")</f>
        <v>(14):102,54:</v>
      </c>
      <c r="I3" s="35" t="str">
        <f>CONCATENATE("(14):",IFERROR(ROUND(Ведомость!K3,2),0),":")</f>
        <v>(14):102,61:</v>
      </c>
      <c r="J3" s="35" t="str">
        <f>CONCATENATE("(14):",IFERROR(ROUND(Ведомость!L3,2),0),":")</f>
        <v>(14):102,62:</v>
      </c>
      <c r="K3" s="35" t="str">
        <f>CONCATENATE("(14):",IFERROR(ROUND(Ведомость!M3,2),0),":")</f>
        <v>(14):102,81:</v>
      </c>
      <c r="L3" s="35" t="str">
        <f>CONCATENATE("(14):",IFERROR(ROUND(Ведомость!N3,2),0),":")</f>
        <v>(14):102,87:</v>
      </c>
      <c r="M3" s="35" t="str">
        <f>CONCATENATE("(14):",IFERROR(ROUND(Ведомость!O3,2),0),":")</f>
        <v>(14):103,09:</v>
      </c>
      <c r="N3" s="35" t="str">
        <f>CONCATENATE("(14):",IFERROR(ROUND(Ведомость!P3,2),0),":")</f>
        <v>(14):103,3:</v>
      </c>
      <c r="O3" s="35" t="str">
        <f>CONCATENATE("(14):",IFERROR(ROUND(Ведомость!Q3,2),0),":")</f>
        <v>(14):103,65:</v>
      </c>
      <c r="P3" s="35" t="str">
        <f>CONCATENATE("(14):",IFERROR(ROUND(Ведомость!R3,2),0),":")</f>
        <v>(14):104,09:</v>
      </c>
      <c r="Q3" s="35" t="str">
        <f>CONCATENATE("(14):",IFERROR(ROUND(Ведомость!S3,2),0),":")</f>
        <v>(14):104,55:</v>
      </c>
      <c r="R3" s="35" t="str">
        <f>CONCATENATE("(14):",IFERROR(ROUND(Ведомость!T3,2),0),":")</f>
        <v>(14):105,06:</v>
      </c>
      <c r="S3" s="35" t="str">
        <f>CONCATENATE("(14):",IFERROR(ROUND(Ведомость!U3,2),0),":")</f>
        <v>(14):105,58:</v>
      </c>
      <c r="T3" s="35" t="str">
        <f>CONCATENATE("(14):",IFERROR(ROUND(Ведомость!V3,2),0),":")</f>
        <v>(14):106,06:</v>
      </c>
      <c r="U3" s="35" t="str">
        <f>CONCATENATE("(14):",IFERROR(ROUND(Ведомость!W3,2),0),":")</f>
        <v>(14):106,37:</v>
      </c>
      <c r="V3" s="35" t="str">
        <f>CONCATENATE("(14):",IFERROR(ROUND(Ведомость!X3,2),0),":")</f>
        <v>(14):106,72:</v>
      </c>
      <c r="W3" s="35" t="str">
        <f>CONCATENATE("(14):",IFERROR(ROUND(Ведомость!Y3,2),0),":")</f>
        <v>(14):107,02:</v>
      </c>
      <c r="X3" s="35" t="str">
        <f>CONCATENATE("(14):",IFERROR(ROUND(Ведомость!Z3,2),0),":")</f>
        <v>(14):107,32:</v>
      </c>
      <c r="Y3" s="35" t="str">
        <f>CONCATENATE("(14):",IFERROR(ROUND(Ведомость!AA3,2),0),":")</f>
        <v>(14):107,6:</v>
      </c>
      <c r="Z3" s="35" t="str">
        <f>CONCATENATE("(14):",IFERROR(ROUND(Ведомость!AB3,2),0),":")</f>
        <v>(14):107,83:</v>
      </c>
      <c r="AA3" s="35" t="str">
        <f>CONCATENATE("(14):",IFERROR(ROUND(Ведомость!AC3,2),0),":")</f>
        <v>(14):108,01:</v>
      </c>
      <c r="AB3" s="35" t="str">
        <f>CONCATENATE("(14):",IFERROR(ROUND(Ведомость!AD3,2),0),":")</f>
        <v>(14):108,13:</v>
      </c>
      <c r="AC3" s="35" t="str">
        <f>IF(COLUMN() &lt;= $AK$1,CONCATENATE("(14):",IFERROR(ROUND(Ведомость!AE3,2),0),":"),"")</f>
        <v>(14):108,2:</v>
      </c>
      <c r="AD3" s="35" t="str">
        <f>IF(COLUMN() &lt;= $AK$1,CONCATENATE("(14):",IFERROR(ROUND(Ведомость!AF3,2),0),":"),"")</f>
        <v>(14):0:</v>
      </c>
      <c r="AE3" s="35" t="str">
        <f ca="1">IF(COLUMN() &lt;= $AK$1,CONCATENATE("(14):",IFERROR(ROUND(IF(Ведомость!AG2="", CELL("содержимое",AM1),Ведомость!AG3),2),"0"),":"),"")</f>
        <v/>
      </c>
      <c r="AL3" s="36">
        <v>108.432063474041</v>
      </c>
      <c r="AM3" s="36">
        <v>108.42619099336601</v>
      </c>
      <c r="AN3" s="36">
        <v>92.717434602625104</v>
      </c>
      <c r="AO3" s="36">
        <v>92.6982870662913</v>
      </c>
    </row>
    <row r="4" spans="1:42" x14ac:dyDescent="0.25">
      <c r="A4" s="35" t="str">
        <f>CONCATENATE("(16):",IFERROR(ROUND(Ведомость!C4,2),0),":")</f>
        <v>(16):86,73:</v>
      </c>
      <c r="B4" s="35" t="str">
        <f>CONCATENATE("(16):",IFERROR(ROUND(Ведомость!D4,2),0),":")</f>
        <v>(16):86,57:</v>
      </c>
      <c r="C4" s="35" t="str">
        <f>CONCATENATE("(16):",IFERROR(ROUND(Ведомость!E4,2),0),":")</f>
        <v>(16):86,73:</v>
      </c>
      <c r="D4" s="35" t="str">
        <f>CONCATENATE("(16):",IFERROR(ROUND(Ведомость!F4,2),0),":")</f>
        <v>(16):87,29:</v>
      </c>
      <c r="E4" s="35" t="str">
        <f>CONCATENATE("(16):",IFERROR(ROUND(Ведомость!G4,2),0),":")</f>
        <v>(16):87,01:</v>
      </c>
      <c r="F4" s="35" t="str">
        <f>CONCATENATE("(16):",IFERROR(ROUND(Ведомость!H4,2),0),":")</f>
        <v>(16):87,18:</v>
      </c>
      <c r="G4" s="35" t="str">
        <f>CONCATENATE("(16):",IFERROR(ROUND(Ведомость!I4,2),0),":")</f>
        <v>(16):86,94:</v>
      </c>
      <c r="H4" s="35" t="str">
        <f>CONCATENATE("(16):",IFERROR(ROUND(Ведомость!J4,2),0),":")</f>
        <v>(16):87,95:</v>
      </c>
      <c r="I4" s="35" t="str">
        <f>CONCATENATE("(16):",IFERROR(ROUND(Ведомость!K4,2),0),":")</f>
        <v>(16):87,34:</v>
      </c>
      <c r="J4" s="35" t="str">
        <f>CONCATENATE("(16):",IFERROR(ROUND(Ведомость!L4,2),0),":")</f>
        <v>(16):87,42:</v>
      </c>
      <c r="K4" s="35" t="str">
        <f>CONCATENATE("(16):",IFERROR(ROUND(Ведомость!M4,2),0),":")</f>
        <v>(16):87,01:</v>
      </c>
      <c r="L4" s="35" t="str">
        <f>CONCATENATE("(16):",IFERROR(ROUND(Ведомость!N4,2),0),":")</f>
        <v>(16):88,44:</v>
      </c>
      <c r="M4" s="35" t="str">
        <f>CONCATENATE("(16):",IFERROR(ROUND(Ведомость!O4,2),0),":")</f>
        <v>(16):88,68:</v>
      </c>
      <c r="N4" s="35" t="str">
        <f>CONCATENATE("(16):",IFERROR(ROUND(Ведомость!P4,2),0),":")</f>
        <v>(16):88,72:</v>
      </c>
      <c r="O4" s="35" t="str">
        <f>CONCATENATE("(16):",IFERROR(ROUND(Ведомость!Q4,2),0),":")</f>
        <v>(16):88,51:</v>
      </c>
      <c r="P4" s="35" t="str">
        <f>CONCATENATE("(16):",IFERROR(ROUND(Ведомость!R4,2),0),":")</f>
        <v>(16):88,4:</v>
      </c>
      <c r="Q4" s="35" t="str">
        <f>CONCATENATE("(16):",IFERROR(ROUND(Ведомость!S4,2),0),":")</f>
        <v>(16):88,58:</v>
      </c>
      <c r="R4" s="35" t="str">
        <f>CONCATENATE("(16):",IFERROR(ROUND(Ведомость!T4,2),0),":")</f>
        <v>(16):88,62:</v>
      </c>
      <c r="S4" s="35" t="str">
        <f>CONCATENATE("(16):",IFERROR(ROUND(Ведомость!U4,2),0),":")</f>
        <v>(16):89,43:</v>
      </c>
      <c r="T4" s="35" t="str">
        <f>CONCATENATE("(16):",IFERROR(ROUND(Ведомость!V4,2),0),":")</f>
        <v>(16):90,43:</v>
      </c>
      <c r="U4" s="35" t="str">
        <f>CONCATENATE("(16):",IFERROR(ROUND(Ведомость!W4,2),0),":")</f>
        <v>(16):91,93:</v>
      </c>
      <c r="V4" s="35" t="str">
        <f>CONCATENATE("(16):",IFERROR(ROUND(Ведомость!X4,2),0),":")</f>
        <v>(16):92,55:</v>
      </c>
      <c r="W4" s="35" t="str">
        <f>CONCATENATE("(16):",IFERROR(ROUND(Ведомость!Y4,2),0),":")</f>
        <v>(16):92,7:</v>
      </c>
      <c r="X4" s="35" t="str">
        <f>CONCATENATE("(16):",IFERROR(ROUND(Ведомость!Z4,2),0),":")</f>
        <v>(16):92,81:</v>
      </c>
      <c r="Y4" s="35" t="str">
        <f>CONCATENATE("(16):",IFERROR(ROUND(Ведомость!AA4,2),0),":")</f>
        <v>(16):92,91:</v>
      </c>
      <c r="Z4" s="35" t="str">
        <f>CONCATENATE("(16):",IFERROR(ROUND(Ведомость!AB4,2),0),":")</f>
        <v>(16):93,03:</v>
      </c>
      <c r="AA4" s="35" t="str">
        <f>CONCATENATE("(16):",IFERROR(ROUND(Ведомость!AC4,2),0),":")</f>
        <v>(16):93,08:</v>
      </c>
      <c r="AB4" s="35" t="str">
        <f>CONCATENATE("(16):",IFERROR(ROUND(Ведомость!AD4,2),0),":")</f>
        <v>(16):93,22:</v>
      </c>
      <c r="AC4" s="35" t="str">
        <f>IF(COLUMN() &lt;= $AK$1,CONCATENATE("(16):",IFERROR(ROUND(Ведомость!AE4,2),0),":"),"")</f>
        <v>(16):93,28:</v>
      </c>
      <c r="AD4" s="35" t="str">
        <f>IF(COLUMN() &lt;= $AK$1,CONCATENATE("(16):",IFERROR(ROUND(Ведомость!AF4,2),0),":"),"")</f>
        <v>(16):0:</v>
      </c>
      <c r="AE4" s="35" t="str">
        <f ca="1">IF(COLUMN() &lt;= $AK$1,CONCATENATE("(16):",IFERROR(ROUND(IF(Ведомость!AG2="", CELL("содержимое",AN1),Ведомость!AG4),2),"0"),":"),"")</f>
        <v/>
      </c>
    </row>
    <row r="5" spans="1:42" x14ac:dyDescent="0.25">
      <c r="A5" s="35" t="str">
        <f>CONCATENATE("(18):",IFERROR(ROUND(Ведомость!B7,2),0),":")</f>
        <v>(18):87,57:</v>
      </c>
      <c r="B5" s="35" t="str">
        <f>CONCATENATE("(18):",IFERROR(ROUND(Ведомость!C7,2),0),":")</f>
        <v>(18):87,11:</v>
      </c>
      <c r="C5" s="35" t="str">
        <f>CONCATENATE("(18):",IFERROR(ROUND(Ведомость!D7,2),0),":")</f>
        <v>(18):87:</v>
      </c>
      <c r="D5" s="35" t="str">
        <f>CONCATENATE("(18):",IFERROR(ROUND(Ведомость!E7,2),0),":")</f>
        <v>(18):87,67:</v>
      </c>
      <c r="E5" s="35" t="str">
        <f>CONCATENATE("(18):",IFERROR(ROUND(Ведомость!F7,2),0),":")</f>
        <v>(18):87,91:</v>
      </c>
      <c r="F5" s="35" t="str">
        <f>CONCATENATE("(18):",IFERROR(ROUND(Ведомость!G7,2),0),":")</f>
        <v>(18):87,98:</v>
      </c>
      <c r="G5" s="35" t="str">
        <f>CONCATENATE("(18):",IFERROR(ROUND(Ведомость!H7,2),0),":")</f>
        <v>(18):88,16:</v>
      </c>
      <c r="H5" s="35" t="str">
        <f>CONCATENATE("(18):",IFERROR(ROUND(Ведомость!I7,2),0),":")</f>
        <v>(18):87,92:</v>
      </c>
      <c r="I5" s="35" t="str">
        <f>CONCATENATE("(18):",IFERROR(ROUND(Ведомость!J7,2),0),":")</f>
        <v>(18):87,95:</v>
      </c>
      <c r="J5" s="35" t="str">
        <f>CONCATENATE("(18):",IFERROR(ROUND(Ведомость!K7,2),0),":")</f>
        <v>(18):87,84:</v>
      </c>
      <c r="K5" s="35" t="str">
        <f>CONCATENATE("(18):",IFERROR(ROUND(Ведомость!L7,2),0),":")</f>
        <v>(18):88,01:</v>
      </c>
      <c r="L5" s="35" t="str">
        <f>CONCATENATE("(18):",IFERROR(ROUND(Ведомость!M7,2),0),":")</f>
        <v>(18):87,84:</v>
      </c>
      <c r="M5" s="35" t="str">
        <f>CONCATENATE("(18):",IFERROR(ROUND(Ведомость!N7,2),0),":")</f>
        <v>(18):88,43:</v>
      </c>
      <c r="N5" s="35" t="str">
        <f>CONCATENATE("(18):",IFERROR(ROUND(Ведомость!O7,2),0),":")</f>
        <v>(18):88,69:</v>
      </c>
      <c r="O5" s="35" t="str">
        <f>CONCATENATE("(18):",IFERROR(ROUND(Ведомость!P7,2),0),":")</f>
        <v>(18):88,71:</v>
      </c>
      <c r="P5" s="35" t="str">
        <f>CONCATENATE("(18):",IFERROR(ROUND(Ведомость!Q7,2),0),":")</f>
        <v>(18):88,46:</v>
      </c>
      <c r="Q5" s="35" t="str">
        <f>CONCATENATE("(18):",IFERROR(ROUND(Ведомость!R7,2),0),":")</f>
        <v>(18):88,36:</v>
      </c>
      <c r="R5" s="35" t="str">
        <f>CONCATENATE("(18):",IFERROR(ROUND(Ведомость!S7,2),0),":")</f>
        <v>(18):88,59:</v>
      </c>
      <c r="S5" s="35" t="str">
        <f>CONCATENATE("(18):",IFERROR(ROUND(Ведомость!T7,2),0),":")</f>
        <v>(18):88,88:</v>
      </c>
      <c r="T5" s="35" t="str">
        <f>CONCATENATE("(18):",IFERROR(ROUND(Ведомость!U7,2),0),":")</f>
        <v>(18):89,71:</v>
      </c>
      <c r="U5" s="35" t="str">
        <f>CONCATENATE("(18):",IFERROR(ROUND(Ведомость!V7,2),0),":")</f>
        <v>(18):91,05:</v>
      </c>
      <c r="V5" s="35" t="str">
        <f>CONCATENATE("(18):",IFERROR(ROUND(Ведомость!W7,2),0),":")</f>
        <v>(18):92,19:</v>
      </c>
      <c r="W5" s="35" t="str">
        <f>CONCATENATE("(18):",IFERROR(ROUND(Ведомость!X7,2),0),":")</f>
        <v>(18):92,62:</v>
      </c>
      <c r="X5" s="35" t="str">
        <f>CONCATENATE("(18):",IFERROR(ROUND(Ведомость!Y7,2),0),":")</f>
        <v>(18):92,73:</v>
      </c>
      <c r="Y5" s="35" t="str">
        <f>CONCATENATE("(18):",IFERROR(ROUND(Ведомость!Z7,2),0),":")</f>
        <v>(18):92,85:</v>
      </c>
      <c r="Z5" s="35" t="str">
        <f>CONCATENATE("(18):",IFERROR(ROUND(Ведомость!AA7,2),0),":")</f>
        <v>(18):92,91:</v>
      </c>
      <c r="AA5" s="35" t="str">
        <f>CONCATENATE("(18):",IFERROR(ROUND(Ведомость!AB7,2),0),":")</f>
        <v>(18):93:</v>
      </c>
      <c r="AB5" s="35" t="str">
        <f>CONCATENATE("(18):",IFERROR(ROUND(Ведомость!AC7,2),0),":")</f>
        <v>(18):93,1:</v>
      </c>
      <c r="AC5" s="35" t="str">
        <f>IF(COLUMN() &lt;= $AK$1,CONCATENATE("(18):",IFERROR(ROUND(Ведомость!AD7,2),0),":"),"")</f>
        <v>(18):93,21:</v>
      </c>
      <c r="AD5" s="35" t="str">
        <f>IF(COLUMN() &lt;= $AK$1,CONCATENATE("(18):",IFERROR(ROUND(Ведомость!AE7,2),0),":"),"")</f>
        <v>(18):93,28:</v>
      </c>
      <c r="AE5" s="35" t="str">
        <f>IF(COLUMN() &lt;= $AK$1,CONCATENATE("(18):",IFERROR(ROUND(Ведомость!AF7,2),0),":"),"")</f>
        <v/>
      </c>
    </row>
    <row r="6" spans="1:42" x14ac:dyDescent="0.25">
      <c r="A6" s="35" t="str">
        <f>CONCATENATE("(19):",IFERROR(ROUND(Ведомость!B8,2),0),":")</f>
        <v>(19):88,43:</v>
      </c>
      <c r="B6" s="35" t="str">
        <f>CONCATENATE("(19):",IFERROR(ROUND(Ведомость!C8,2),0),":")</f>
        <v>(19):87,77:</v>
      </c>
      <c r="C6" s="35" t="str">
        <f>CONCATENATE("(19):",IFERROR(ROUND(Ведомость!D8,2),0),":")</f>
        <v>(19):87,62:</v>
      </c>
      <c r="D6" s="35" t="str">
        <f>CONCATENATE("(19):",IFERROR(ROUND(Ведомость!E8,2),0),":")</f>
        <v>(19):88,58:</v>
      </c>
      <c r="E6" s="35" t="str">
        <f>CONCATENATE("(19):",IFERROR(ROUND(Ведомость!F8,2),0),":")</f>
        <v>(19):88,6:</v>
      </c>
      <c r="F6" s="35" t="str">
        <f>CONCATENATE("(19):",IFERROR(ROUND(Ведомость!G8,2),0),":")</f>
        <v>(19):88,52:</v>
      </c>
      <c r="G6" s="35" t="str">
        <f>CONCATENATE("(19):",IFERROR(ROUND(Ведомость!H8,2),0),":")</f>
        <v>(19):88,7:</v>
      </c>
      <c r="H6" s="35" t="str">
        <f>CONCATENATE("(19):",IFERROR(ROUND(Ведомость!I8,2),0),":")</f>
        <v>(19):88,64:</v>
      </c>
      <c r="I6" s="35" t="str">
        <f>CONCATENATE("(19):",IFERROR(ROUND(Ведомость!J8,2),0),":")</f>
        <v>(19):88,21:</v>
      </c>
      <c r="J6" s="35" t="str">
        <f>CONCATENATE("(19):",IFERROR(ROUND(Ведомость!K8,2),0),":")</f>
        <v>(19):88,06:</v>
      </c>
      <c r="K6" s="35" t="str">
        <f>CONCATENATE("(19):",IFERROR(ROUND(Ведомость!L8,2),0),":")</f>
        <v>(19):88,57:</v>
      </c>
      <c r="L6" s="35" t="str">
        <f>CONCATENATE("(19):",IFERROR(ROUND(Ведомость!M8,2),0),":")</f>
        <v>(19):88,4:</v>
      </c>
      <c r="M6" s="35" t="str">
        <f>CONCATENATE("(19):",IFERROR(ROUND(Ведомость!N8,2),0),":")</f>
        <v>(19):88,63:</v>
      </c>
      <c r="N6" s="35" t="str">
        <f>CONCATENATE("(19):",IFERROR(ROUND(Ведомость!O8,2),0),":")</f>
        <v>(19):88,73:</v>
      </c>
      <c r="O6" s="35" t="str">
        <f>CONCATENATE("(19):",IFERROR(ROUND(Ведомость!P8,2),0),":")</f>
        <v>(19):88,72:</v>
      </c>
      <c r="P6" s="35" t="str">
        <f>CONCATENATE("(19):",IFERROR(ROUND(Ведомость!Q8,2),0),":")</f>
        <v>(19):88,75:</v>
      </c>
      <c r="Q6" s="35" t="str">
        <f>CONCATENATE("(19):",IFERROR(ROUND(Ведомость!R8,2),0),":")</f>
        <v>(19):88,63:</v>
      </c>
      <c r="R6" s="35" t="str">
        <f>CONCATENATE("(19):",IFERROR(ROUND(Ведомость!S8,2),0),":")</f>
        <v>(19):88,63:</v>
      </c>
      <c r="S6" s="35" t="str">
        <f>CONCATENATE("(19):",IFERROR(ROUND(Ведомость!T8,2),0),":")</f>
        <v>(19):89,32:</v>
      </c>
      <c r="T6" s="35" t="str">
        <f>CONCATENATE("(19):",IFERROR(ROUND(Ведомость!U8,2),0),":")</f>
        <v>(19):90,23:</v>
      </c>
      <c r="U6" s="35" t="str">
        <f>CONCATENATE("(19):",IFERROR(ROUND(Ведомость!V8,2),0),":")</f>
        <v>(19):91,89:</v>
      </c>
      <c r="V6" s="35" t="str">
        <f>CONCATENATE("(19):",IFERROR(ROUND(Ведомость!W8,2),0),":")</f>
        <v>(19):92,59:</v>
      </c>
      <c r="W6" s="35" t="str">
        <f>CONCATENATE("(19):",IFERROR(ROUND(Ведомость!X8,2),0),":")</f>
        <v>(19):92,71:</v>
      </c>
      <c r="X6" s="35" t="str">
        <f>CONCATENATE("(19):",IFERROR(ROUND(Ведомость!Y8,2),0),":")</f>
        <v>(19):92,79:</v>
      </c>
      <c r="Y6" s="35" t="str">
        <f>CONCATENATE("(19):",IFERROR(ROUND(Ведомость!Z8,2),0),":")</f>
        <v>(19):92,92:</v>
      </c>
      <c r="Z6" s="35" t="str">
        <f>CONCATENATE("(19):",IFERROR(ROUND(Ведомость!AA8,2),0),":")</f>
        <v>(19):92,95:</v>
      </c>
      <c r="AA6" s="35" t="str">
        <f>CONCATENATE("(19):",IFERROR(ROUND(Ведомость!AB8,2),0),":")</f>
        <v>(19):93,06:</v>
      </c>
      <c r="AB6" s="35" t="str">
        <f>CONCATENATE("(19):",IFERROR(ROUND(Ведомость!AC8,2),0),":")</f>
        <v>(19):93,15:</v>
      </c>
      <c r="AC6" s="35" t="str">
        <f>IF(COLUMN() &lt;= $AK$1,CONCATENATE("(19):",IFERROR(ROUND(Ведомость!AD8,2),0),":"),"")</f>
        <v>(19):93,26:</v>
      </c>
      <c r="AD6" s="35" t="str">
        <f>IF(COLUMN() &lt;= $AK$1,CONCATENATE("(19):",IFERROR(ROUND(Ведомость!AE8,2),0),":"),"")</f>
        <v>(19):93,34:</v>
      </c>
      <c r="AE6" s="35" t="str">
        <f>IF(COLUMN() &lt;= $AK$1,CONCATENATE("(19):",IFERROR(ROUND(Ведомость!AF8,2),0),":"),"")</f>
        <v/>
      </c>
    </row>
    <row r="7" spans="1:42" x14ac:dyDescent="0.25">
      <c r="A7" s="35" t="str">
        <f>CONCATENATE("(20):",IFERROR(ROUND(Ведомость!B9,2),0),":")</f>
        <v>(20):86,86:</v>
      </c>
      <c r="B7" s="35" t="str">
        <f>CONCATENATE("(20):",IFERROR(ROUND(Ведомость!C9,2),0),":")</f>
        <v>(20):86,6:</v>
      </c>
      <c r="C7" s="35" t="str">
        <f>CONCATENATE("(20):",IFERROR(ROUND(Ведомость!D9,2),0),":")</f>
        <v>(20):86,5:</v>
      </c>
      <c r="D7" s="35" t="str">
        <f>CONCATENATE("(20):",IFERROR(ROUND(Ведомость!E9,2),0),":")</f>
        <v>(20):86,55:</v>
      </c>
      <c r="E7" s="35" t="str">
        <f>CONCATENATE("(20):",IFERROR(ROUND(Ведомость!F9,2),0),":")</f>
        <v>(20):86,99:</v>
      </c>
      <c r="F7" s="35" t="str">
        <f>CONCATENATE("(20):",IFERROR(ROUND(Ведомость!G9,2),0),":")</f>
        <v>(20):87,01:</v>
      </c>
      <c r="G7" s="35" t="str">
        <f>CONCATENATE("(20):",IFERROR(ROUND(Ведомость!H9,2),0),":")</f>
        <v>(20):87,13:</v>
      </c>
      <c r="H7" s="35" t="str">
        <f>CONCATENATE("(20):",IFERROR(ROUND(Ведомость!I9,2),0),":")</f>
        <v>(20):86,94:</v>
      </c>
      <c r="I7" s="35" t="str">
        <f>CONCATENATE("(20):",IFERROR(ROUND(Ведомость!J9,2),0),":")</f>
        <v>(20):87,64:</v>
      </c>
      <c r="J7" s="35" t="str">
        <f>CONCATENATE("(20):",IFERROR(ROUND(Ведомость!K9,2),0),":")</f>
        <v>(20):87,34:</v>
      </c>
      <c r="K7" s="35" t="str">
        <f>CONCATENATE("(20):",IFERROR(ROUND(Ведомость!L9,2),0),":")</f>
        <v>(20):86,96:</v>
      </c>
      <c r="L7" s="35" t="str">
        <f>CONCATENATE("(20):",IFERROR(ROUND(Ведомость!M9,2),0),":")</f>
        <v>(20):86,92:</v>
      </c>
      <c r="M7" s="35" t="str">
        <f>CONCATENATE("(20):",IFERROR(ROUND(Ведомость!N9,2),0),":")</f>
        <v>(20):87,51:</v>
      </c>
      <c r="N7" s="35" t="str">
        <f>CONCATENATE("(20):",IFERROR(ROUND(Ведомость!O9,2),0),":")</f>
        <v>(20):88,63:</v>
      </c>
      <c r="O7" s="35" t="str">
        <f>CONCATENATE("(20):",IFERROR(ROUND(Ведомость!P9,2),0),":")</f>
        <v>(20):88,68:</v>
      </c>
      <c r="P7" s="35" t="str">
        <f>CONCATENATE("(20):",IFERROR(ROUND(Ведомость!Q9,2),0),":")</f>
        <v>(20):88,14:</v>
      </c>
      <c r="Q7" s="35" t="str">
        <f>CONCATENATE("(20):",IFERROR(ROUND(Ведомость!R9,2),0),":")</f>
        <v>(20):88,04:</v>
      </c>
      <c r="R7" s="35" t="str">
        <f>CONCATENATE("(20):",IFERROR(ROUND(Ведомость!S9,2),0),":")</f>
        <v>(20):88,49:</v>
      </c>
      <c r="S7" s="35" t="str">
        <f>CONCATENATE("(20):",IFERROR(ROUND(Ведомость!T9,2),0),":")</f>
        <v>(20):88,62:</v>
      </c>
      <c r="T7" s="35" t="str">
        <f>CONCATENATE("(20):",IFERROR(ROUND(Ведомость!U9,2),0),":")</f>
        <v>(20):89,35:</v>
      </c>
      <c r="U7" s="35" t="str">
        <f>CONCATENATE("(20):",IFERROR(ROUND(Ведомость!V9,2),0),":")</f>
        <v>(20):90,26:</v>
      </c>
      <c r="V7" s="35" t="str">
        <f>CONCATENATE("(20):",IFERROR(ROUND(Ведомость!W9,2),0),":")</f>
        <v>(20):91,86:</v>
      </c>
      <c r="W7" s="35" t="str">
        <f>CONCATENATE("(20):",IFERROR(ROUND(Ведомость!X9,2),0),":")</f>
        <v>(20):92,54:</v>
      </c>
      <c r="X7" s="35" t="str">
        <f>CONCATENATE("(20):",IFERROR(ROUND(Ведомость!Y9,2),0),":")</f>
        <v>(20):92,69:</v>
      </c>
      <c r="Y7" s="35" t="str">
        <f>CONCATENATE("(20):",IFERROR(ROUND(Ведомость!Z9,2),0),":")</f>
        <v>(20):92,78:</v>
      </c>
      <c r="Z7" s="35" t="str">
        <f>CONCATENATE("(20):",IFERROR(ROUND(Ведомость!AA9,2),0),":")</f>
        <v>(20):92,85:</v>
      </c>
      <c r="AA7" s="35" t="str">
        <f>CONCATENATE("(20):",IFERROR(ROUND(Ведомость!AB9,2),0),":")</f>
        <v>(20):92,92:</v>
      </c>
      <c r="AB7" s="35" t="str">
        <f>CONCATENATE("(20):",IFERROR(ROUND(Ведомость!AC9,2),0),":")</f>
        <v>(20):93,04:</v>
      </c>
      <c r="AC7" s="35" t="str">
        <f>IF(COLUMN() &lt;= $AK$1,CONCATENATE("(20):",IFERROR(ROUND(Ведомость!AD9,2),0),":"),"")</f>
        <v>(20):93,11:</v>
      </c>
      <c r="AD7" s="35" t="str">
        <f>IF(COLUMN() &lt;= $AK$1,CONCATENATE("(20):",IFERROR(ROUND(Ведомость!AE9,2),0),":"),"")</f>
        <v>(20):93,2:</v>
      </c>
      <c r="AE7" s="35" t="str">
        <f>IF(COLUMN() &lt;= $AK$1,CONCATENATE("(20):",IFERROR(ROUND(Ведомость!AF9,2),0),":"),"")</f>
        <v/>
      </c>
    </row>
    <row r="8" spans="1:42" x14ac:dyDescent="0.25">
      <c r="A8" s="35" t="str">
        <f>CONCATENATE("(21):",IFERROR(ROUND(Ведомость!C37,2),0),":")</f>
        <v>(21):86,73:</v>
      </c>
      <c r="B8" s="35" t="str">
        <f>CONCATENATE("(21):",IFERROR(ROUND(Ведомость!D37,2),0),":")</f>
        <v>(21):86,57:</v>
      </c>
      <c r="C8" s="35" t="str">
        <f>CONCATENATE("(21):",IFERROR(ROUND(Ведомость!E37,2),0),":")</f>
        <v>(21):86,55:</v>
      </c>
      <c r="D8" s="35" t="str">
        <f>CONCATENATE("(21):",IFERROR(ROUND(Ведомость!F37,2),0),":")</f>
        <v>(21):86,99:</v>
      </c>
      <c r="E8" s="35" t="str">
        <f>CONCATENATE("(21):",IFERROR(ROUND(Ведомость!G37,2),0),":")</f>
        <v>(21):87,01:</v>
      </c>
      <c r="F8" s="35" t="str">
        <f>CONCATENATE("(21):",IFERROR(ROUND(Ведомость!H37,2),0),":")</f>
        <v>(21):87,13:</v>
      </c>
      <c r="G8" s="35" t="str">
        <f>CONCATENATE("(21):",IFERROR(ROUND(Ведомость!I37,2),0),":")</f>
        <v>(21):86,94:</v>
      </c>
      <c r="H8" s="35" t="str">
        <f>CONCATENATE("(21):",IFERROR(ROUND(Ведомость!J37,2),0),":")</f>
        <v>(21):87,64:</v>
      </c>
      <c r="I8" s="35" t="str">
        <f>CONCATENATE("(21):",IFERROR(ROUND(Ведомость!K37,2),0),":")</f>
        <v>(21):87,34:</v>
      </c>
      <c r="J8" s="35" t="str">
        <f>CONCATENATE("(21):",IFERROR(ROUND(Ведомость!L37,2),0),":")</f>
        <v>(21):86,96:</v>
      </c>
      <c r="K8" s="35" t="str">
        <f>CONCATENATE("(21):",IFERROR(ROUND(Ведомость!M37,2),0),":")</f>
        <v>(21):86,92:</v>
      </c>
      <c r="L8" s="35" t="str">
        <f>CONCATENATE("(21):",IFERROR(ROUND(Ведомость!N37,2),0),":")</f>
        <v>(21):87,51:</v>
      </c>
      <c r="M8" s="35" t="str">
        <f>CONCATENATE("(21):",IFERROR(ROUND(Ведомость!O37,2),0),":")</f>
        <v>(21):88,63:</v>
      </c>
      <c r="N8" s="35" t="str">
        <f>CONCATENATE("(21):",IFERROR(ROUND(Ведомость!P37,2),0),":")</f>
        <v>(21):88,7:</v>
      </c>
      <c r="O8" s="35" t="str">
        <f>CONCATENATE("(21):",IFERROR(ROUND(Ведомость!Q37,2),0),":")</f>
        <v>(21):88,51:</v>
      </c>
      <c r="P8" s="35" t="str">
        <f>CONCATENATE("(21):",IFERROR(ROUND(Ведомость!R37,2),0),":")</f>
        <v>(21):88,4:</v>
      </c>
      <c r="Q8" s="35" t="str">
        <f>CONCATENATE("(21):",IFERROR(ROUND(Ведомость!S37,2),0),":")</f>
        <v>(21):88,49:</v>
      </c>
      <c r="R8" s="35" t="str">
        <f>CONCATENATE("(21):",IFERROR(ROUND(Ведомость!T37,2),0),":")</f>
        <v>(21):88,62:</v>
      </c>
      <c r="S8" s="35" t="str">
        <f>CONCATENATE("(21):",IFERROR(ROUND(Ведомость!U37,2),0),":")</f>
        <v>(21):89,35:</v>
      </c>
      <c r="T8" s="35" t="str">
        <f>CONCATENATE("(21):",IFERROR(ROUND(Ведомость!V37,2),0),":")</f>
        <v>(21):90,26:</v>
      </c>
      <c r="U8" s="35" t="str">
        <f>CONCATENATE("(21):",IFERROR(ROUND(Ведомость!W37,2),0),":")</f>
        <v>(21):91,86:</v>
      </c>
      <c r="V8" s="35" t="str">
        <f>CONCATENATE("(21):",IFERROR(ROUND(Ведомость!X37,2),0),":")</f>
        <v>(21):92,54:</v>
      </c>
      <c r="W8" s="35" t="str">
        <f>CONCATENATE("(21):",IFERROR(ROUND(Ведомость!Y37,2),0),":")</f>
        <v>(21):92,69:</v>
      </c>
      <c r="X8" s="35" t="str">
        <f>CONCATENATE("(21):",IFERROR(ROUND(Ведомость!Z37,2),0),":")</f>
        <v>(21):92,78:</v>
      </c>
      <c r="Y8" s="35" t="str">
        <f>CONCATENATE("(21):",IFERROR(ROUND(Ведомость!AA37,2),0),":")</f>
        <v>(21):92,85:</v>
      </c>
      <c r="Z8" s="35" t="str">
        <f>CONCATENATE("(21):",IFERROR(ROUND(Ведомость!AB37,2),0),":")</f>
        <v>(21):92,92:</v>
      </c>
      <c r="AA8" s="35" t="str">
        <f>CONCATENATE("(21):",IFERROR(ROUND(Ведомость!AC37,2),0),":")</f>
        <v>(21):93,04:</v>
      </c>
      <c r="AB8" s="35" t="str">
        <f>CONCATENATE("(21):",IFERROR(ROUND(Ведомость!AD37,2),0),":")</f>
        <v>(21):93,11:</v>
      </c>
      <c r="AC8" s="35" t="str">
        <f>IF(COLUMN() &lt;= $AK$1,CONCATENATE("(21):",IFERROR(ROUND(Ведомость!AE37,2),0),":"),"")</f>
        <v>(21):93,26:</v>
      </c>
      <c r="AD8" s="35" t="str">
        <f>IF(COLUMN() &lt;= $AK$1,CONCATENATE("(21):",IFERROR(ROUND(Ведомость!AF37,2),0),":"),"")</f>
        <v>(21):0:</v>
      </c>
      <c r="AE8" s="35" t="str">
        <f ca="1">IF(COLUMN() &lt;= $AK$1,CONCATENATE("(21):",IFERROR(ROUND(IF(Ведомость!AG2="", CELL("содержимое",AO1),Ведомость!AG37),2),"0"),":"),"")</f>
        <v/>
      </c>
    </row>
    <row r="9" spans="1:42" x14ac:dyDescent="0.25">
      <c r="A9" s="35" t="str">
        <f>CONCATENATE("(30):",IFERROR(ROUND(Ведомость!B10,2),0),":")</f>
        <v>(30):15,51:</v>
      </c>
      <c r="B9" s="35" t="str">
        <f>CONCATENATE("(30):",IFERROR(ROUND(Ведомость!C10,2),0),":")</f>
        <v>(30):15,94:</v>
      </c>
      <c r="C9" s="35" t="str">
        <f>CONCATENATE("(30):",IFERROR(ROUND(Ведомость!D10,2),0),":")</f>
        <v>(30):16,02:</v>
      </c>
      <c r="D9" s="35" t="str">
        <f>CONCATENATE("(30):",IFERROR(ROUND(Ведомость!E10,2),0),":")</f>
        <v>(30):15,25:</v>
      </c>
      <c r="E9" s="35" t="str">
        <f>CONCATENATE("(30):",IFERROR(ROUND(Ведомость!F10,2),0),":")</f>
        <v>(30):14,92:</v>
      </c>
      <c r="F9" s="35" t="str">
        <f>CONCATENATE("(30):",IFERROR(ROUND(Ведомость!G10,2),0),":")</f>
        <v>(30):14,75:</v>
      </c>
      <c r="G9" s="35" t="str">
        <f>CONCATENATE("(30):",IFERROR(ROUND(Ведомость!H10,2),0),":")</f>
        <v>(30):14,47:</v>
      </c>
      <c r="H9" s="35" t="str">
        <f>CONCATENATE("(30):",IFERROR(ROUND(Ведомость!I10,2),0),":")</f>
        <v>(30):14,67:</v>
      </c>
      <c r="I9" s="35" t="str">
        <f>CONCATENATE("(30):",IFERROR(ROUND(Ведомость!J10,2),0),":")</f>
        <v>(30):14,59:</v>
      </c>
      <c r="J9" s="35" t="str">
        <f>CONCATENATE("(30):",IFERROR(ROUND(Ведомость!K10,2),0),":")</f>
        <v>(30):14,73:</v>
      </c>
      <c r="K9" s="35" t="str">
        <f>CONCATENATE("(30):",IFERROR(ROUND(Ведомость!L10,2),0),":")</f>
        <v>(30):14,63:</v>
      </c>
      <c r="L9" s="35" t="str">
        <f>CONCATENATE("(30):",IFERROR(ROUND(Ведомость!M10,2),0),":")</f>
        <v>(30):14,96:</v>
      </c>
      <c r="M9" s="35" t="str">
        <f>CONCATENATE("(30):",IFERROR(ROUND(Ведомость!N10,2),0),":")</f>
        <v>(30):14,5:</v>
      </c>
      <c r="N9" s="35" t="str">
        <f>CONCATENATE("(30):",IFERROR(ROUND(Ведомость!O10,2),0),":")</f>
        <v>(30):14,43:</v>
      </c>
      <c r="O9" s="35" t="str">
        <f>CONCATENATE("(30):",IFERROR(ROUND(Ведомость!P10,2),0),":")</f>
        <v>(30):14,65:</v>
      </c>
      <c r="P9" s="35" t="str">
        <f>CONCATENATE("(30):",IFERROR(ROUND(Ведомость!Q10,2),0),":")</f>
        <v>(30):15,25:</v>
      </c>
      <c r="Q9" s="35" t="str">
        <f>CONCATENATE("(30):",IFERROR(ROUND(Ведомость!R10,2),0),":")</f>
        <v>(30):15,79:</v>
      </c>
      <c r="R9" s="35" t="str">
        <f>CONCATENATE("(30):",IFERROR(ROUND(Ведомость!S10,2),0),":")</f>
        <v>(30):16,06:</v>
      </c>
      <c r="S9" s="35" t="str">
        <f>CONCATENATE("(30):",IFERROR(ROUND(Ведомость!T10,2),0),":")</f>
        <v>(30):16,26:</v>
      </c>
      <c r="T9" s="35" t="str">
        <f>CONCATENATE("(30):",IFERROR(ROUND(Ведомость!U10,2),0),":")</f>
        <v>(30):15,95:</v>
      </c>
      <c r="U9" s="35" t="str">
        <f>CONCATENATE("(30):",IFERROR(ROUND(Ведомость!V10,2),0),":")</f>
        <v>(30):15,04:</v>
      </c>
      <c r="V9" s="35" t="str">
        <f>CONCATENATE("(30):",IFERROR(ROUND(Ведомость!W10,2),0),":")</f>
        <v>(30):14,25:</v>
      </c>
      <c r="W9" s="35" t="str">
        <f>CONCATENATE("(30):",IFERROR(ROUND(Ведомость!X10,2),0),":")</f>
        <v>(30):14,15:</v>
      </c>
      <c r="X9" s="35" t="str">
        <f>CONCATENATE("(30):",IFERROR(ROUND(Ведомость!Y10,2),0),":")</f>
        <v>(30):14,36:</v>
      </c>
      <c r="Y9" s="35" t="str">
        <f>CONCATENATE("(30):",IFERROR(ROUND(Ведомость!Z10,2),0),":")</f>
        <v>(30):14,53:</v>
      </c>
      <c r="Z9" s="35" t="str">
        <f>CONCATENATE("(30):",IFERROR(ROUND(Ведомость!AA10,2),0),":")</f>
        <v>(30):14,74:</v>
      </c>
      <c r="AA9" s="35" t="str">
        <f>CONCATENATE("(30):",IFERROR(ROUND(Ведомость!AB10,2),0),":")</f>
        <v>(30):14,87:</v>
      </c>
      <c r="AB9" s="35" t="str">
        <f>CONCATENATE("(30):",IFERROR(ROUND(Ведомость!AC10,2),0),":")</f>
        <v>(30):14,95:</v>
      </c>
      <c r="AC9" s="35" t="str">
        <f>IF(COLUMN() &lt;= $AK$1,CONCATENATE("(30):",IFERROR(ROUND(Ведомость!AD10,2),0),":"),"")</f>
        <v>(30):14,94:</v>
      </c>
      <c r="AD9" s="35" t="str">
        <f>IF(COLUMN() &lt;= $AK$1,CONCATENATE("(30):",IFERROR(ROUND(Ведомость!AE10,2),0),":"),"")</f>
        <v>(30):14,93:</v>
      </c>
      <c r="AE9" s="35" t="str">
        <f>IF(COLUMN() &lt;= $AK$1,CONCATENATE("(30):",IFERROR(ROUND(Ведомость!AF10,2),0),":"),"")</f>
        <v/>
      </c>
    </row>
    <row r="10" spans="1:42" x14ac:dyDescent="0.25">
      <c r="A10" s="35" t="str">
        <f>CONCATENATE("(31):",IFERROR(ROUND(Ведомость!B11,2),0),":")</f>
        <v>(31):15,24:</v>
      </c>
      <c r="B10" s="35" t="str">
        <f>CONCATENATE("(31):",IFERROR(ROUND(Ведомость!C11,2),0),":")</f>
        <v>(31):15,72:</v>
      </c>
      <c r="C10" s="35" t="str">
        <f>CONCATENATE("(31):",IFERROR(ROUND(Ведомость!D11,2),0),":")</f>
        <v>(31):15,8:</v>
      </c>
      <c r="D10" s="35" t="str">
        <f>CONCATENATE("(31):",IFERROR(ROUND(Ведомость!E11,2),0),":")</f>
        <v>(31):14,96:</v>
      </c>
      <c r="E10" s="35" t="str">
        <f>CONCATENATE("(31):",IFERROR(ROUND(Ведомость!F11,2),0),":")</f>
        <v>(31):14,68:</v>
      </c>
      <c r="F10" s="35" t="str">
        <f>CONCATENATE("(31):",IFERROR(ROUND(Ведомость!G11,2),0),":")</f>
        <v>(31):14,49:</v>
      </c>
      <c r="G10" s="35" t="str">
        <f>CONCATENATE("(31):",IFERROR(ROUND(Ведомость!H11,2),0),":")</f>
        <v>(31):14,22:</v>
      </c>
      <c r="H10" s="35" t="str">
        <f>CONCATENATE("(31):",IFERROR(ROUND(Ведомость!I11,2),0),":")</f>
        <v>(31):14,47:</v>
      </c>
      <c r="I10" s="35" t="str">
        <f>CONCATENATE("(31):",IFERROR(ROUND(Ведомость!J11,2),0),":")</f>
        <v>(31):14,36:</v>
      </c>
      <c r="J10" s="35" t="str">
        <f>CONCATENATE("(31):",IFERROR(ROUND(Ведомость!K11,2),0),":")</f>
        <v>(31):14,47:</v>
      </c>
      <c r="K10" s="35" t="str">
        <f>CONCATENATE("(31):",IFERROR(ROUND(Ведомость!L11,2),0),":")</f>
        <v>(31):14,28:</v>
      </c>
      <c r="L10" s="35" t="str">
        <f>CONCATENATE("(31):",IFERROR(ROUND(Ведомость!M11,2),0),":")</f>
        <v>(31):14,66:</v>
      </c>
      <c r="M10" s="35" t="str">
        <f>CONCATENATE("(31):",IFERROR(ROUND(Ведомость!N11,2),0),":")</f>
        <v>(31):14,14:</v>
      </c>
      <c r="N10" s="35" t="str">
        <f>CONCATENATE("(31):",IFERROR(ROUND(Ведомость!O11,2),0),":")</f>
        <v>(31):14,06:</v>
      </c>
      <c r="O10" s="35" t="str">
        <f>CONCATENATE("(31):",IFERROR(ROUND(Ведомость!P11,2),0),":")</f>
        <v>(31):14,29:</v>
      </c>
      <c r="P10" s="35" t="str">
        <f>CONCATENATE("(31):",IFERROR(ROUND(Ведомость!Q11,2),0),":")</f>
        <v>(31):14,87:</v>
      </c>
      <c r="Q10" s="35" t="str">
        <f>CONCATENATE("(31):",IFERROR(ROUND(Ведомость!R11,2),0),":")</f>
        <v>(31):15,49:</v>
      </c>
      <c r="R10" s="35" t="str">
        <f>CONCATENATE("(31):",IFERROR(ROUND(Ведомость!S11,2),0),":")</f>
        <v>(31):15,74:</v>
      </c>
      <c r="S10" s="35" t="str">
        <f>CONCATENATE("(31):",IFERROR(ROUND(Ведомость!T11,2),0),":")</f>
        <v>(31):15,89:</v>
      </c>
      <c r="T10" s="35" t="str">
        <f>CONCATENATE("(31):",IFERROR(ROUND(Ведомость!U11,2),0),":")</f>
        <v>(31):15,58:</v>
      </c>
      <c r="U10" s="35" t="str">
        <f>CONCATENATE("(31):",IFERROR(ROUND(Ведомость!V11,2),0),":")</f>
        <v>(31):14,68:</v>
      </c>
      <c r="V10" s="35" t="str">
        <f>CONCATENATE("(31):",IFERROR(ROUND(Ведомость!W11,2),0),":")</f>
        <v>(31):13,96:</v>
      </c>
      <c r="W10" s="35" t="str">
        <f>CONCATENATE("(31):",IFERROR(ROUND(Ведомость!X11,2),0),":")</f>
        <v>(31):13,89:</v>
      </c>
      <c r="X10" s="35" t="str">
        <f>CONCATENATE("(31):",IFERROR(ROUND(Ведомость!Y11,2),0),":")</f>
        <v>(31):14,11:</v>
      </c>
      <c r="Y10" s="35" t="str">
        <f>CONCATENATE("(31):",IFERROR(ROUND(Ведомость!Z11,2),0),":")</f>
        <v>(31):14,27:</v>
      </c>
      <c r="Z10" s="35" t="str">
        <f>CONCATENATE("(31):",IFERROR(ROUND(Ведомость!AA11,2),0),":")</f>
        <v>(31):14,52:</v>
      </c>
      <c r="AA10" s="35" t="str">
        <f>CONCATENATE("(31):",IFERROR(ROUND(Ведомость!AB11,2),0),":")</f>
        <v>(31):14,58:</v>
      </c>
      <c r="AB10" s="35" t="str">
        <f>CONCATENATE("(31):",IFERROR(ROUND(Ведомость!AC11,2),0),":")</f>
        <v>(31):14,62:</v>
      </c>
      <c r="AC10" s="35" t="str">
        <f>IF(COLUMN() &lt;= $AK$1,CONCATENATE("(31):",IFERROR(ROUND(Ведомость!AD11,2),0),":"),"")</f>
        <v>(31):14,57:</v>
      </c>
      <c r="AD10" s="35" t="str">
        <f>IF(COLUMN() &lt;= $AK$1,CONCATENATE("(31):",IFERROR(ROUND(Ведомость!AE11,2),0),":"),"")</f>
        <v>(31):14,52:</v>
      </c>
      <c r="AE10" s="35" t="str">
        <f>IF(COLUMN() &lt;= $AK$1,CONCATENATE("(31):",IFERROR(ROUND(Ведомость!AF11,2),0),":"),"")</f>
        <v/>
      </c>
    </row>
    <row r="11" spans="1:42" x14ac:dyDescent="0.25">
      <c r="A11" s="35" t="str">
        <f>CONCATENATE("(40):",IFERROR(ROUND(Ведомость!B26,2),0),":")</f>
        <v>(40):767:</v>
      </c>
      <c r="B11" s="35" t="str">
        <f>CONCATENATE("(40):",IFERROR(ROUND(Ведомость!C26,2),0),":")</f>
        <v>(40):804:</v>
      </c>
      <c r="C11" s="35" t="str">
        <f>CONCATENATE("(40):",IFERROR(ROUND(Ведомость!D26,2),0),":")</f>
        <v>(40):842:</v>
      </c>
      <c r="D11" s="35" t="str">
        <f>CONCATENATE("(40):",IFERROR(ROUND(Ведомость!E26,2),0),":")</f>
        <v>(40):893:</v>
      </c>
      <c r="E11" s="35" t="str">
        <f>CONCATENATE("(40):",IFERROR(ROUND(Ведомость!F26,2),0),":")</f>
        <v>(40):952:</v>
      </c>
      <c r="F11" s="35" t="str">
        <f>CONCATENATE("(40):",IFERROR(ROUND(Ведомость!G26,2),0),":")</f>
        <v>(40):1060:</v>
      </c>
      <c r="G11" s="35" t="str">
        <f>CONCATENATE("(40):",IFERROR(ROUND(Ведомость!H26,2),0),":")</f>
        <v>(40):1280:</v>
      </c>
      <c r="H11" s="35" t="str">
        <f>CONCATENATE("(40):",IFERROR(ROUND(Ведомость!I26,2),0),":")</f>
        <v>(40):1640:</v>
      </c>
      <c r="I11" s="35" t="str">
        <f>CONCATENATE("(40):",IFERROR(ROUND(Ведомость!J26,2),0),":")</f>
        <v>(40):2040:</v>
      </c>
      <c r="J11" s="35" t="str">
        <f>CONCATENATE("(40):",IFERROR(ROUND(Ведомость!K26,2),0),":")</f>
        <v>(40):2760:</v>
      </c>
      <c r="K11" s="35" t="str">
        <f>CONCATENATE("(40):",IFERROR(ROUND(Ведомость!L26,2),0),":")</f>
        <v>(40):3710:</v>
      </c>
      <c r="L11" s="35" t="str">
        <f>CONCATENATE("(40):",IFERROR(ROUND(Ведомость!M26,2),0),":")</f>
        <v>(40):4660:</v>
      </c>
      <c r="M11" s="35" t="str">
        <f>CONCATENATE("(40):",IFERROR(ROUND(Ведомость!N26,2),0),":")</f>
        <v>(40):5500:</v>
      </c>
      <c r="N11" s="35" t="str">
        <f>CONCATENATE("(40):",IFERROR(ROUND(Ведомость!O26,2),0),":")</f>
        <v>(40):5920:</v>
      </c>
      <c r="O11" s="35" t="str">
        <f>CONCATENATE("(40):",IFERROR(ROUND(Ведомость!P26,2),0),":")</f>
        <v>(40):6050:</v>
      </c>
      <c r="P11" s="35" t="str">
        <f>CONCATENATE("(40):",IFERROR(ROUND(Ведомость!Q26,2),0),":")</f>
        <v>(40):7130:</v>
      </c>
      <c r="Q11" s="35" t="str">
        <f>CONCATENATE("(40):",IFERROR(ROUND(Ведомость!R26,2),0),":")</f>
        <v>(40):8870:</v>
      </c>
      <c r="R11" s="35" t="str">
        <f>CONCATENATE("(40):",IFERROR(ROUND(Ведомость!S26,2),0),":")</f>
        <v>(40):10310:</v>
      </c>
      <c r="S11" s="35" t="str">
        <f>CONCATENATE("(40):",IFERROR(ROUND(Ведомость!T26,2),0),":")</f>
        <v>(40):11720:</v>
      </c>
      <c r="T11" s="35" t="str">
        <f>CONCATENATE("(40):",IFERROR(ROUND(Ведомость!U26,2),0),":")</f>
        <v>(40):13100:</v>
      </c>
      <c r="U11" s="35" t="str">
        <f>CONCATENATE("(40):",IFERROR(ROUND(Ведомость!V26,2),0),":")</f>
        <v>(40):14200:</v>
      </c>
      <c r="V11" s="35" t="str">
        <f>CONCATENATE("(40):",IFERROR(ROUND(Ведомость!W26,2),0),":")</f>
        <v>(40):14800:</v>
      </c>
      <c r="W11" s="35" t="str">
        <f>CONCATENATE("(40):",IFERROR(ROUND(Ведомость!X26,2),0),":")</f>
        <v>(40):15100:</v>
      </c>
      <c r="X11" s="35" t="str">
        <f>CONCATENATE("(40):",IFERROR(ROUND(Ведомость!Y26,2),0),":")</f>
        <v>(40):15600:</v>
      </c>
      <c r="Y11" s="35" t="str">
        <f>CONCATENATE("(40):",IFERROR(ROUND(Ведомость!Z26,2),0),":")</f>
        <v>(40):15100:</v>
      </c>
      <c r="Z11" s="35" t="str">
        <f>CONCATENATE("(40):",IFERROR(ROUND(Ведомость!AA26,2),0),":")</f>
        <v>(40):14600:</v>
      </c>
      <c r="AA11" s="35" t="str">
        <f>CONCATENATE("(40):",IFERROR(ROUND(Ведомость!AB26,2),0),":")</f>
        <v>(40):13900:</v>
      </c>
      <c r="AB11" s="35" t="str">
        <f>CONCATENATE("(40):",IFERROR(ROUND(Ведомость!AC26,2),0),":")</f>
        <v>(40):13100:</v>
      </c>
      <c r="AC11" s="35" t="str">
        <f>IF(COLUMN() &lt;= $AK$1,CONCATENATE("(40):",IFERROR(ROUND(Ведомость!AD26,2),0),":"),"")</f>
        <v>(40):12100:</v>
      </c>
      <c r="AD11" s="35" t="str">
        <f>IF(COLUMN() &lt;= $AK$1,CONCATENATE("(40):",IFERROR(ROUND(Ведомость!AE26,2),0),":"),"")</f>
        <v>(40):11300:</v>
      </c>
      <c r="AE11" s="35" t="str">
        <f>IF(COLUMN() &lt;= $AK$1,CONCATENATE("(40):",IFERROR(ROUND(Ведомость!AF26,2),0),":"),"")</f>
        <v/>
      </c>
    </row>
    <row r="12" spans="1:42" x14ac:dyDescent="0.25">
      <c r="A12" s="38" t="str">
        <f>CONCATENATE("(45):",IFERROR(ROUND(Ведомость!B23,0),0),":")</f>
        <v>(45):2772:</v>
      </c>
      <c r="B12" s="38" t="str">
        <f>CONCATENATE("(45):",IFERROR(ROUND(Ведомость!C23,0),0),":")</f>
        <v>(45):2470:</v>
      </c>
      <c r="C12" s="38" t="str">
        <f>CONCATENATE("(45):",IFERROR(ROUND(Ведомость!D23,0),0),":")</f>
        <v>(45):2445:</v>
      </c>
      <c r="D12" s="38" t="str">
        <f>CONCATENATE("(45):",IFERROR(ROUND(Ведомость!E23,0),0),":")</f>
        <v>(45):3367:</v>
      </c>
      <c r="E12" s="38" t="str">
        <f>CONCATENATE("(45):",IFERROR(ROUND(Ведомость!F23,0),0),":")</f>
        <v>(45):3346:</v>
      </c>
      <c r="F12" s="38" t="str">
        <f>CONCATENATE("(45):",IFERROR(ROUND(Ведомость!G23,0),0),":")</f>
        <v>(45):3323:</v>
      </c>
      <c r="G12" s="38" t="str">
        <f>CONCATENATE("(45):",IFERROR(ROUND(Ведомость!H23,0),0),":")</f>
        <v>(45):3339:</v>
      </c>
      <c r="H12" s="38" t="str">
        <f>CONCATENATE("(45):",IFERROR(ROUND(Ведомость!I23,0),0),":")</f>
        <v>(45):3185:</v>
      </c>
      <c r="I12" s="38" t="str">
        <f>CONCATENATE("(45):",IFERROR(ROUND(Ведомость!J23,0),0),":")</f>
        <v>(45):3208:</v>
      </c>
      <c r="J12" s="38" t="str">
        <f>CONCATENATE("(45):",IFERROR(ROUND(Ведомость!K23,0),0),":")</f>
        <v>(45):3174:</v>
      </c>
      <c r="K12" s="38" t="str">
        <f>CONCATENATE("(45):",IFERROR(ROUND(Ведомость!L23,0),0),":")</f>
        <v>(45):3271:</v>
      </c>
      <c r="L12" s="38" t="str">
        <f>CONCATENATE("(45):",IFERROR(ROUND(Ведомость!M23,0),0),":")</f>
        <v>(45):3228:</v>
      </c>
      <c r="M12" s="38" t="str">
        <f>CONCATENATE("(45):",IFERROR(ROUND(Ведомость!N23,0),0),":")</f>
        <v>(45):4148:</v>
      </c>
      <c r="N12" s="38" t="str">
        <f>CONCATENATE("(45):",IFERROR(ROUND(Ведомость!O23,0),0),":")</f>
        <v>(45):4343:</v>
      </c>
      <c r="O12" s="38" t="str">
        <f>CONCATENATE("(45):",IFERROR(ROUND(Ведомость!P23,0),0),":")</f>
        <v>(45):4407:</v>
      </c>
      <c r="P12" s="38" t="str">
        <f>CONCATENATE("(45):",IFERROR(ROUND(Ведомость!Q23,0),0),":")</f>
        <v>(45):4497:</v>
      </c>
      <c r="Q12" s="38" t="str">
        <f>CONCATENATE("(45):",IFERROR(ROUND(Ведомость!R23,0),0),":")</f>
        <v>(45):4602:</v>
      </c>
      <c r="R12" s="38" t="str">
        <f>CONCATENATE("(45):",IFERROR(ROUND(Ведомость!S23,0),0),":")</f>
        <v>(45):4540:</v>
      </c>
      <c r="S12" s="38" t="str">
        <f>CONCATENATE("(45):",IFERROR(ROUND(Ведомость!T23,0),0),":")</f>
        <v>(45):4109:</v>
      </c>
      <c r="T12" s="38" t="str">
        <f>CONCATENATE("(45):",IFERROR(ROUND(Ведомость!U23,0),0),":")</f>
        <v>(45):4732:</v>
      </c>
      <c r="U12" s="38" t="str">
        <f>CONCATENATE("(45):",IFERROR(ROUND(Ведомость!V23,0),0),":")</f>
        <v>(45):6738:</v>
      </c>
      <c r="V12" s="38" t="str">
        <f>CONCATENATE("(45):",IFERROR(ROUND(Ведомость!W23,0),0),":")</f>
        <v>(45):8536:</v>
      </c>
      <c r="W12" s="38" t="str">
        <f>CONCATENATE("(45):",IFERROR(ROUND(Ведомость!X23,0),0),":")</f>
        <v>(45):9058:</v>
      </c>
      <c r="X12" s="38" t="str">
        <f>CONCATENATE("(45):",IFERROR(ROUND(Ведомость!Y23,0),0),":")</f>
        <v>(45):9016:</v>
      </c>
      <c r="Y12" s="38" t="str">
        <f>CONCATENATE("(45):",IFERROR(ROUND(Ведомость!Z23,0),0),":")</f>
        <v>(45):9142:</v>
      </c>
      <c r="Z12" s="38" t="str">
        <f>CONCATENATE("(45):",IFERROR(ROUND(Ведомость!AA23,0),0),":")</f>
        <v>(45):9209:</v>
      </c>
      <c r="AA12" s="38" t="str">
        <f>CONCATENATE("(45):",IFERROR(ROUND(Ведомость!AB23,0),0),":")</f>
        <v>(45):9448:</v>
      </c>
      <c r="AB12" s="38" t="str">
        <f>CONCATENATE("(45):",IFERROR(ROUND(Ведомость!AC23,0),0),":")</f>
        <v>(45):9539:</v>
      </c>
      <c r="AC12" s="38" t="str">
        <f>IF(COLUMN() &lt;= $AK$1,CONCATENATE("(45):",IFERROR(ROUND(Ведомость!AD23,0),0),":"),"")</f>
        <v>(45):9869:</v>
      </c>
      <c r="AD12" s="38" t="str">
        <f>IF(COLUMN() &lt;= $AK$1,CONCATENATE("(45):",IFERROR(ROUND(Ведомость!AE23,0),0),":"),"")</f>
        <v>(45):9881:</v>
      </c>
      <c r="AE12" s="38" t="str">
        <f>IF(COLUMN() &lt;= $AK$1,CONCATENATE("(45):",IFERROR(ROUND(Ведомость!AF23,0),0),":"),"")</f>
        <v/>
      </c>
    </row>
    <row r="13" spans="1:42" x14ac:dyDescent="0.25">
      <c r="A13" s="39" t="str">
        <f>CONCATENATE("(46):",IFERROR(ROUND(Ведомость!B18,0),0),":")</f>
        <v>(46):1433:</v>
      </c>
      <c r="B13" s="39" t="str">
        <f>CONCATENATE("(46):",IFERROR(ROUND(Ведомость!C18,0),0),":")</f>
        <v>(46):1141:</v>
      </c>
      <c r="C13" s="39" t="str">
        <f>CONCATENATE("(46):",IFERROR(ROUND(Ведомость!D18,0),0),":")</f>
        <v>(46):1124:</v>
      </c>
      <c r="D13" s="39" t="str">
        <f>CONCATENATE("(46):",IFERROR(ROUND(Ведомость!E18,0),0),":")</f>
        <v>(46):2070:</v>
      </c>
      <c r="E13" s="39" t="str">
        <f>CONCATENATE("(46):",IFERROR(ROUND(Ведомость!F18,0),0),":")</f>
        <v>(46):2073:</v>
      </c>
      <c r="F13" s="39" t="str">
        <f>CONCATENATE("(46):",IFERROR(ROUND(Ведомость!G18,0),0),":")</f>
        <v>(46):2074:</v>
      </c>
      <c r="G13" s="39" t="str">
        <f>CONCATENATE("(46):",IFERROR(ROUND(Ведомость!H18,0),0),":")</f>
        <v>(46):2111:</v>
      </c>
      <c r="H13" s="39" t="str">
        <f>CONCATENATE("(46):",IFERROR(ROUND(Ведомость!I18,0),0),":")</f>
        <v>(46):1969:</v>
      </c>
      <c r="I13" s="39" t="str">
        <f>CONCATENATE("(46):",IFERROR(ROUND(Ведомость!J18,0),0),":")</f>
        <v>(46):2005:</v>
      </c>
      <c r="J13" s="39" t="str">
        <f>CONCATENATE("(46):",IFERROR(ROUND(Ведомость!K18,0),0),":")</f>
        <v>(46):1961:</v>
      </c>
      <c r="K13" s="39" t="str">
        <f>CONCATENATE("(46):",IFERROR(ROUND(Ведомость!L18,0),0),":")</f>
        <v>(46):2040:</v>
      </c>
      <c r="L13" s="39" t="str">
        <f>CONCATENATE("(46):",IFERROR(ROUND(Ведомость!M18,0),0),":")</f>
        <v>(46):1958:</v>
      </c>
      <c r="M13" s="39" t="str">
        <f>CONCATENATE("(46):",IFERROR(ROUND(Ведомость!N18,0),0),":")</f>
        <v>(46):2846:</v>
      </c>
      <c r="N13" s="39" t="str">
        <f>CONCATENATE("(46):",IFERROR(ROUND(Ведомость!O18,0),0),":")</f>
        <v>(46):2991:</v>
      </c>
      <c r="O13" s="39" t="str">
        <f>CONCATENATE("(46):",IFERROR(ROUND(Ведомость!P18,0),0),":")</f>
        <v>(46):2989:</v>
      </c>
      <c r="P13" s="39" t="str">
        <f>CONCATENATE("(46):",IFERROR(ROUND(Ведомость!Q18,0),0),":")</f>
        <v>(46):2989:</v>
      </c>
      <c r="Q13" s="39" t="str">
        <f>CONCATENATE("(46):",IFERROR(ROUND(Ведомость!R18,0),0),":")</f>
        <v>(46):2989:</v>
      </c>
      <c r="R13" s="39" t="str">
        <f>CONCATENATE("(46):",IFERROR(ROUND(Ведомость!S18,0),0),":")</f>
        <v>(46):2989:</v>
      </c>
      <c r="S13" s="39" t="str">
        <f>CONCATENATE("(46):",IFERROR(ROUND(Ведомость!T18,0),0),":")</f>
        <v>(46):2989:</v>
      </c>
      <c r="T13" s="39" t="str">
        <f>CONCATENATE("(46):",IFERROR(ROUND(Ведомость!U18,0),0),":")</f>
        <v>(46):2989:</v>
      </c>
      <c r="U13" s="39" t="str">
        <f>CONCATENATE("(46):",IFERROR(ROUND(Ведомость!V18,0),0),":")</f>
        <v>(46):2989:</v>
      </c>
      <c r="V13" s="39" t="str">
        <f>CONCATENATE("(46):",IFERROR(ROUND(Ведомость!W18,0),0),":")</f>
        <v>(46):3226:</v>
      </c>
      <c r="W13" s="39" t="str">
        <f>CONCATENATE("(46):",IFERROR(ROUND(Ведомость!X18,0),0),":")</f>
        <v>(46):3266:</v>
      </c>
      <c r="X13" s="39" t="str">
        <f>CONCATENATE("(46):",IFERROR(ROUND(Ведомость!Y18,0),0),":")</f>
        <v>(46):3093:</v>
      </c>
      <c r="Y13" s="39" t="str">
        <f>CONCATENATE("(46):",IFERROR(ROUND(Ведомость!Z18,0),0),":")</f>
        <v>(46):3114:</v>
      </c>
      <c r="Z13" s="39" t="str">
        <f>CONCATENATE("(46):",IFERROR(ROUND(Ведомость!AA18,0),0),":")</f>
        <v>(46):3088:</v>
      </c>
      <c r="AA13" s="39" t="str">
        <f>CONCATENATE("(46):",IFERROR(ROUND(Ведомость!AB18,0),0),":")</f>
        <v>(46):3253:</v>
      </c>
      <c r="AB13" s="39" t="str">
        <f>CONCATENATE("(46):",IFERROR(ROUND(Ведомость!AC18,0),0),":")</f>
        <v>(46):3279:</v>
      </c>
      <c r="AC13" s="39" t="str">
        <f>IF(COLUMN() &lt;= $AK$1,CONCATENATE("(46):",IFERROR(ROUND(Ведомость!AD18,0),0),":"),"")</f>
        <v>(46):3570:</v>
      </c>
      <c r="AD13" s="39" t="str">
        <f>IF(COLUMN() &lt;= $AK$1,CONCATENATE("(46):",IFERROR(ROUND(Ведомость!AE18,0),0),":"),"")</f>
        <v>(46):3734:</v>
      </c>
      <c r="AE13" s="39" t="str">
        <f>IF(COLUMN() &lt;= $AK$1,CONCATENATE("(46):",IFERROR(ROUND(Ведомость!AF18,0),0),":"),"")</f>
        <v/>
      </c>
    </row>
    <row r="14" spans="1:42" x14ac:dyDescent="0.25">
      <c r="A14" s="39" t="str">
        <f>CONCATENATE("(47):",IFERROR(ROUND(Ведомость!B19,2),0),":")</f>
        <v>(47):1335,87:</v>
      </c>
      <c r="B14" s="39" t="str">
        <f>CONCATENATE("(47):",IFERROR(ROUND(Ведомость!C19,2),0),":")</f>
        <v>(47):1325,59:</v>
      </c>
      <c r="C14" s="39" t="str">
        <f>CONCATENATE("(47):",IFERROR(ROUND(Ведомость!D19,2),0),":")</f>
        <v>(47):1318,45:</v>
      </c>
      <c r="D14" s="39" t="str">
        <f>CONCATENATE("(47):",IFERROR(ROUND(Ведомость!E19,2),0),":")</f>
        <v>(47):1293,89:</v>
      </c>
      <c r="E14" s="39" t="str">
        <f>CONCATENATE("(47):",IFERROR(ROUND(Ведомость!F19,2),0),":")</f>
        <v>(47):1270,5:</v>
      </c>
      <c r="F14" s="39" t="str">
        <f>CONCATENATE("(47):",IFERROR(ROUND(Ведомость!G19,2),0),":")</f>
        <v>(47):1246,38:</v>
      </c>
      <c r="G14" s="39" t="str">
        <f>CONCATENATE("(47):",IFERROR(ROUND(Ведомость!H19,2),0),":")</f>
        <v>(47):1225,42:</v>
      </c>
      <c r="H14" s="39" t="str">
        <f>CONCATENATE("(47):",IFERROR(ROUND(Ведомость!I19,2),0),":")</f>
        <v>(47):1213,08:</v>
      </c>
      <c r="I14" s="39" t="str">
        <f>CONCATENATE("(47):",IFERROR(ROUND(Ведомость!J19,2),0),":")</f>
        <v>(47):1200,51:</v>
      </c>
      <c r="J14" s="39" t="str">
        <f>CONCATENATE("(47):",IFERROR(ROUND(Ведомость!K19,2),0),":")</f>
        <v>(47):1209,97:</v>
      </c>
      <c r="K14" s="39" t="str">
        <f>CONCATENATE("(47):",IFERROR(ROUND(Ведомость!L19,2),0),":")</f>
        <v>(47):1228,62:</v>
      </c>
      <c r="L14" s="39" t="str">
        <f>CONCATENATE("(47):",IFERROR(ROUND(Ведомость!M19,2),0),":")</f>
        <v>(47):1266,69:</v>
      </c>
      <c r="M14" s="39" t="str">
        <f>CONCATENATE("(47):",IFERROR(ROUND(Ведомость!N19,2),0),":")</f>
        <v>(47):1299,42:</v>
      </c>
      <c r="N14" s="39" t="str">
        <f>CONCATENATE("(47):",IFERROR(ROUND(Ведомость!O19,2),0),":")</f>
        <v>(47):1349,01:</v>
      </c>
      <c r="O14" s="39" t="str">
        <f>CONCATENATE("(47):",IFERROR(ROUND(Ведомость!P19,2),0),":")</f>
        <v>(47):1415,55:</v>
      </c>
      <c r="P14" s="39" t="str">
        <f>CONCATENATE("(47):",IFERROR(ROUND(Ведомость!Q19,2),0),":")</f>
        <v>(47):1505,72:</v>
      </c>
      <c r="Q14" s="39" t="str">
        <f>CONCATENATE("(47):",IFERROR(ROUND(Ведомость!R19,2),0),":")</f>
        <v>(47):1610,4:</v>
      </c>
      <c r="R14" s="39" t="str">
        <f>CONCATENATE("(47):",IFERROR(ROUND(Ведомость!S19,2),0),":")</f>
        <v>(47):1548,35:</v>
      </c>
      <c r="S14" s="39" t="str">
        <f>CONCATENATE("(47):",IFERROR(ROUND(Ведомость!T19,2),0),":")</f>
        <v>(47):1117,96:</v>
      </c>
      <c r="T14" s="39" t="str">
        <f>CONCATENATE("(47):",IFERROR(ROUND(Ведомость!U19,2),0),":")</f>
        <v>(47):1740,76:</v>
      </c>
      <c r="U14" s="39" t="str">
        <f>CONCATENATE("(47):",IFERROR(ROUND(Ведомость!V19,2),0),":")</f>
        <v>(47):3746,42:</v>
      </c>
      <c r="V14" s="39" t="str">
        <f>CONCATENATE("(47):",IFERROR(ROUND(Ведомость!W19,2),0),":")</f>
        <v>(47):5307,7:</v>
      </c>
      <c r="W14" s="39" t="str">
        <f>CONCATENATE("(47):",IFERROR(ROUND(Ведомость!X19,2),0),":")</f>
        <v>(47):5788,63:</v>
      </c>
      <c r="X14" s="39" t="str">
        <f>CONCATENATE("(47):",IFERROR(ROUND(Ведомость!Y19,2),0),":")</f>
        <v>(47):5919,66:</v>
      </c>
      <c r="Y14" s="39" t="str">
        <f>CONCATENATE("(47):",IFERROR(ROUND(Ведомость!Z19,2),0),":")</f>
        <v>(47):6024,95:</v>
      </c>
      <c r="Z14" s="39" t="str">
        <f>CONCATENATE("(47):",IFERROR(ROUND(Ведомость!AA19,2),0),":")</f>
        <v>(47):6118,62:</v>
      </c>
      <c r="AA14" s="39" t="str">
        <f>CONCATENATE("(47):",IFERROR(ROUND(Ведомость!AB19,2),0),":")</f>
        <v>(47):6191,74:</v>
      </c>
      <c r="AB14" s="39" t="str">
        <f>CONCATENATE("(47):",IFERROR(ROUND(Ведомость!AC19,2),0),":")</f>
        <v>(47):6256,81:</v>
      </c>
      <c r="AC14" s="39" t="str">
        <f>IF(COLUMN() &lt;= $AK$1,CONCATENATE("(47):",IFERROR(ROUND(Ведомость!AD19,2),0),":"),"")</f>
        <v>(47):6295,93:</v>
      </c>
      <c r="AD14" s="39" t="str">
        <f>IF(COLUMN() &lt;= $AK$1,CONCATENATE("(47):",IFERROR(ROUND(Ведомость!AE19,2),0),":"),"")</f>
        <v>(47):6144,32:</v>
      </c>
      <c r="AE14" s="39" t="str">
        <f>IF(COLUMN() &lt;= $AK$1,CONCATENATE("(47):",IFERROR(ROUND(Ведомость!AF19,2),0),":"),"")</f>
        <v/>
      </c>
    </row>
    <row r="15" spans="1:42" x14ac:dyDescent="0.25">
      <c r="A15" s="39" t="s">
        <v>61</v>
      </c>
      <c r="B15" s="39" t="s">
        <v>61</v>
      </c>
      <c r="C15" s="39" t="s">
        <v>61</v>
      </c>
      <c r="D15" s="39" t="s">
        <v>61</v>
      </c>
      <c r="E15" s="39" t="s">
        <v>61</v>
      </c>
      <c r="F15" s="39" t="s">
        <v>61</v>
      </c>
      <c r="G15" s="39" t="s">
        <v>61</v>
      </c>
      <c r="H15" s="39" t="s">
        <v>61</v>
      </c>
      <c r="I15" s="39" t="s">
        <v>61</v>
      </c>
      <c r="J15" s="39" t="s">
        <v>61</v>
      </c>
      <c r="K15" s="39" t="s">
        <v>61</v>
      </c>
      <c r="L15" s="39" t="s">
        <v>61</v>
      </c>
      <c r="M15" s="39" t="s">
        <v>61</v>
      </c>
      <c r="N15" s="39" t="s">
        <v>61</v>
      </c>
      <c r="O15" s="39" t="s">
        <v>61</v>
      </c>
      <c r="P15" s="39" t="s">
        <v>61</v>
      </c>
      <c r="Q15" s="39" t="s">
        <v>61</v>
      </c>
      <c r="R15" s="39" t="s">
        <v>61</v>
      </c>
      <c r="S15" s="39" t="s">
        <v>61</v>
      </c>
      <c r="T15" s="39" t="s">
        <v>61</v>
      </c>
      <c r="U15" s="39" t="s">
        <v>61</v>
      </c>
      <c r="V15" s="39" t="s">
        <v>61</v>
      </c>
      <c r="W15" s="39" t="s">
        <v>61</v>
      </c>
      <c r="X15" s="39" t="s">
        <v>61</v>
      </c>
      <c r="Y15" s="39" t="s">
        <v>61</v>
      </c>
      <c r="Z15" s="39" t="s">
        <v>61</v>
      </c>
      <c r="AA15" s="39" t="s">
        <v>61</v>
      </c>
      <c r="AB15" s="39" t="s">
        <v>61</v>
      </c>
      <c r="AC15" s="39" t="str">
        <f>IF(COLUMN() &lt;= $AK$1,"(48):0:","")</f>
        <v>(48):0:</v>
      </c>
      <c r="AD15" s="39" t="str">
        <f>IF(COLUMN() &lt;= $AK$1,"(48):0:","")</f>
        <v>(48):0:</v>
      </c>
      <c r="AE15" s="39" t="str">
        <f>IF(COLUMN() &lt;= $AK$1,"(48):0:","")</f>
        <v/>
      </c>
    </row>
    <row r="16" spans="1:42" x14ac:dyDescent="0.25">
      <c r="A16" s="39" t="str">
        <f>CONCATENATE("(49):",IFERROR(ROUND(Ведомость!B20,2),0),":")</f>
        <v>(49):3:</v>
      </c>
      <c r="B16" s="39" t="str">
        <f>CONCATENATE("(49):",IFERROR(ROUND(Ведомость!C20,2),0),":")</f>
        <v>(49):3:</v>
      </c>
      <c r="C16" s="39" t="str">
        <f>CONCATENATE("(49):",IFERROR(ROUND(Ведомость!D20,2),0),":")</f>
        <v>(49):3:</v>
      </c>
      <c r="D16" s="39" t="str">
        <f>CONCATENATE("(49):",IFERROR(ROUND(Ведомость!E20,2),0),":")</f>
        <v>(49):3:</v>
      </c>
      <c r="E16" s="39" t="str">
        <f>CONCATENATE("(49):",IFERROR(ROUND(Ведомость!F20,2),0),":")</f>
        <v>(49):3:</v>
      </c>
      <c r="F16" s="39" t="str">
        <f>CONCATENATE("(49):",IFERROR(ROUND(Ведомость!G20,2),0),":")</f>
        <v>(49):3:</v>
      </c>
      <c r="G16" s="39" t="str">
        <f>CONCATENATE("(49):",IFERROR(ROUND(Ведомость!H20,2),0),":")</f>
        <v>(49):3:</v>
      </c>
      <c r="H16" s="39" t="str">
        <f>CONCATENATE("(49):",IFERROR(ROUND(Ведомость!I20,2),0),":")</f>
        <v>(49):3:</v>
      </c>
      <c r="I16" s="39" t="str">
        <f>CONCATENATE("(49):",IFERROR(ROUND(Ведомость!J20,2),0),":")</f>
        <v>(49):3:</v>
      </c>
      <c r="J16" s="39" t="str">
        <f>CONCATENATE("(49):",IFERROR(ROUND(Ведомость!K20,2),0),":")</f>
        <v>(49):3:</v>
      </c>
      <c r="K16" s="39" t="str">
        <f>CONCATENATE("(49):",IFERROR(ROUND(Ведомость!L20,2),0),":")</f>
        <v>(49):3:</v>
      </c>
      <c r="L16" s="39" t="str">
        <f>CONCATENATE("(49):",IFERROR(ROUND(Ведомость!M20,2),0),":")</f>
        <v>(49):3:</v>
      </c>
      <c r="M16" s="39" t="str">
        <f>CONCATENATE("(49):",IFERROR(ROUND(Ведомость!N20,2),0),":")</f>
        <v>(49):3:</v>
      </c>
      <c r="N16" s="39" t="str">
        <f>CONCATENATE("(49):",IFERROR(ROUND(Ведомость!O20,2),0),":")</f>
        <v>(49):3:</v>
      </c>
      <c r="O16" s="39" t="str">
        <f>CONCATENATE("(49):",IFERROR(ROUND(Ведомость!P20,2),0),":")</f>
        <v>(49):3:</v>
      </c>
      <c r="P16" s="39" t="str">
        <f>CONCATENATE("(49):",IFERROR(ROUND(Ведомость!Q20,2),0),":")</f>
        <v>(49):3:</v>
      </c>
      <c r="Q16" s="39" t="str">
        <f>CONCATENATE("(49):",IFERROR(ROUND(Ведомость!R20,2),0),":")</f>
        <v>(49):3:</v>
      </c>
      <c r="R16" s="39" t="str">
        <f>CONCATENATE("(49):",IFERROR(ROUND(Ведомость!S20,2),0),":")</f>
        <v>(49):3:</v>
      </c>
      <c r="S16" s="39" t="str">
        <f>CONCATENATE("(49):",IFERROR(ROUND(Ведомость!T20,2),0),":")</f>
        <v>(49):3:</v>
      </c>
      <c r="T16" s="39" t="str">
        <f>CONCATENATE("(49):",IFERROR(ROUND(Ведомость!U20,2),0),":")</f>
        <v>(49):3:</v>
      </c>
      <c r="U16" s="39" t="str">
        <f>CONCATENATE("(49):",IFERROR(ROUND(Ведомость!V20,2),0),":")</f>
        <v>(49):3:</v>
      </c>
      <c r="V16" s="39" t="str">
        <f>CONCATENATE("(49):",IFERROR(ROUND(Ведомость!W20,2),0),":")</f>
        <v>(49):3:</v>
      </c>
      <c r="W16" s="39" t="str">
        <f>CONCATENATE("(49):",IFERROR(ROUND(Ведомость!X20,2),0),":")</f>
        <v>(49):3:</v>
      </c>
      <c r="X16" s="39" t="str">
        <f>CONCATENATE("(49):",IFERROR(ROUND(Ведомость!Y20,2),0),":")</f>
        <v>(49):3:</v>
      </c>
      <c r="Y16" s="39" t="str">
        <f>CONCATENATE("(49):",IFERROR(ROUND(Ведомость!Z20,2),0),":")</f>
        <v>(49):3:</v>
      </c>
      <c r="Z16" s="39" t="str">
        <f>CONCATENATE("(49):",IFERROR(ROUND(Ведомость!AA20,2),0),":")</f>
        <v>(49):3:</v>
      </c>
      <c r="AA16" s="39" t="str">
        <f>CONCATENATE("(49):",IFERROR(ROUND(Ведомость!AB20,2),0),":")</f>
        <v>(49):3:</v>
      </c>
      <c r="AB16" s="39" t="str">
        <f>CONCATENATE("(49):",IFERROR(ROUND(Ведомость!AC20,2),0),":")</f>
        <v>(49):3:</v>
      </c>
      <c r="AC16" s="39" t="str">
        <f>IF(COLUMN() &lt;= $AK$1,CONCATENATE("(49):",IFERROR(ROUND(Ведомость!AD20,2),0),":"),"")</f>
        <v>(49):3:</v>
      </c>
      <c r="AD16" s="39" t="str">
        <f>IF(COLUMN() &lt;= $AK$1,CONCATENATE("(49):",IFERROR(ROUND(Ведомость!AE20,2),0),":"),"")</f>
        <v>(49):3:</v>
      </c>
      <c r="AE16" s="39" t="str">
        <f>IF(COLUMN() &lt;= $AK$1,CONCATENATE("(49):",IFERROR(ROUND(Ведомость!AF20,2),0),":"),"")</f>
        <v/>
      </c>
    </row>
    <row r="17" spans="1:31" x14ac:dyDescent="0.25">
      <c r="A17" s="39" t="str">
        <f>CONCATENATE("(50):",IFERROR(ROUND(Ведомость!B22,2),0),":")</f>
        <v>(50):0:</v>
      </c>
      <c r="B17" s="39" t="str">
        <f>CONCATENATE("(50):",IFERROR(ROUND(Ведомость!C22,2),0),":")</f>
        <v>(50):0:</v>
      </c>
      <c r="C17" s="39" t="str">
        <f>CONCATENATE("(50):",IFERROR(ROUND(Ведомость!D22,2),0),":")</f>
        <v>(50):0:</v>
      </c>
      <c r="D17" s="39" t="str">
        <f>CONCATENATE("(50):",IFERROR(ROUND(Ведомость!E22,2),0),":")</f>
        <v>(50):0:</v>
      </c>
      <c r="E17" s="39" t="str">
        <f>CONCATENATE("(50):",IFERROR(ROUND(Ведомость!F22,2),0),":")</f>
        <v>(50):0:</v>
      </c>
      <c r="F17" s="39" t="str">
        <f>CONCATENATE("(50):",IFERROR(ROUND(Ведомость!G22,2),0),":")</f>
        <v>(50):0:</v>
      </c>
      <c r="G17" s="39" t="str">
        <f>CONCATENATE("(50):",IFERROR(ROUND(Ведомость!H22,2),0),":")</f>
        <v>(50):0:</v>
      </c>
      <c r="H17" s="39" t="str">
        <f>CONCATENATE("(50):",IFERROR(ROUND(Ведомость!I22,2),0),":")</f>
        <v>(50):0:</v>
      </c>
      <c r="I17" s="39" t="str">
        <f>CONCATENATE("(50):",IFERROR(ROUND(Ведомость!J22,2),0),":")</f>
        <v>(50):0:</v>
      </c>
      <c r="J17" s="39" t="str">
        <f>CONCATENATE("(50):",IFERROR(ROUND(Ведомость!K22,2),0),":")</f>
        <v>(50):0:</v>
      </c>
      <c r="K17" s="39" t="str">
        <f>CONCATENATE("(50):",IFERROR(ROUND(Ведомость!L22,2),0),":")</f>
        <v>(50):0:</v>
      </c>
      <c r="L17" s="39" t="str">
        <f>CONCATENATE("(50):",IFERROR(ROUND(Ведомость!M22,2),0),":")</f>
        <v>(50):0:</v>
      </c>
      <c r="M17" s="39" t="str">
        <f>CONCATENATE("(50):",IFERROR(ROUND(Ведомость!N22,2),0),":")</f>
        <v>(50):0:</v>
      </c>
      <c r="N17" s="39" t="str">
        <f>CONCATENATE("(50):",IFERROR(ROUND(Ведомость!O22,2),0),":")</f>
        <v>(50):0:</v>
      </c>
      <c r="O17" s="39" t="str">
        <f>CONCATENATE("(50):",IFERROR(ROUND(Ведомость!P22,2),0),":")</f>
        <v>(50):0:</v>
      </c>
      <c r="P17" s="39" t="str">
        <f>CONCATENATE("(50):",IFERROR(ROUND(Ведомость!Q22,2),0),":")</f>
        <v>(50):0:</v>
      </c>
      <c r="Q17" s="39" t="str">
        <f>CONCATENATE("(50):",IFERROR(ROUND(Ведомость!R22,2),0),":")</f>
        <v>(50):0:</v>
      </c>
      <c r="R17" s="39" t="str">
        <f>CONCATENATE("(50):",IFERROR(ROUND(Ведомость!S22,2),0),":")</f>
        <v>(50):0:</v>
      </c>
      <c r="S17" s="39" t="str">
        <f>CONCATENATE("(50):",IFERROR(ROUND(Ведомость!T22,2),0),":")</f>
        <v>(50):0:</v>
      </c>
      <c r="T17" s="39" t="str">
        <f>CONCATENATE("(50):",IFERROR(ROUND(Ведомость!U22,2),0),":")</f>
        <v>(50):0:</v>
      </c>
      <c r="U17" s="39" t="str">
        <f>CONCATENATE("(50):",IFERROR(ROUND(Ведомость!V22,2),0),":")</f>
        <v>(50):0:</v>
      </c>
      <c r="V17" s="39" t="str">
        <f>CONCATENATE("(50):",IFERROR(ROUND(Ведомость!W22,2),0),":")</f>
        <v>(50):0:</v>
      </c>
      <c r="W17" s="39" t="str">
        <f>CONCATENATE("(50):",IFERROR(ROUND(Ведомость!X22,2),0),":")</f>
        <v>(50):0:</v>
      </c>
      <c r="X17" s="39" t="str">
        <f>CONCATENATE("(50):",IFERROR(ROUND(Ведомость!Y22,2),0),":")</f>
        <v>(50):0:</v>
      </c>
      <c r="Y17" s="39" t="str">
        <f>CONCATENATE("(50):",IFERROR(ROUND(Ведомость!Z22,2),0),":")</f>
        <v>(50):0:</v>
      </c>
      <c r="Z17" s="39" t="str">
        <f>CONCATENATE("(50):",IFERROR(ROUND(Ведомость!AA22,2),0),":")</f>
        <v>(50):0:</v>
      </c>
      <c r="AA17" s="39" t="str">
        <f>CONCATENATE("(50):",IFERROR(ROUND(Ведомость!AB22,2),0),":")</f>
        <v>(50):0:</v>
      </c>
      <c r="AB17" s="39" t="str">
        <f>CONCATENATE("(50):",IFERROR(ROUND(Ведомость!AC22,2),0),":")</f>
        <v>(50):0:</v>
      </c>
      <c r="AC17" s="39" t="str">
        <f>IF(COLUMN() &lt;= $AK$1,CONCATENATE("(50):",IFERROR(ROUND(Ведомость!AD22,2),0),":"),"")</f>
        <v>(50):0:</v>
      </c>
      <c r="AD17" s="39" t="str">
        <f>IF(COLUMN() &lt;= $AK$1,CONCATENATE("(50):",IFERROR(ROUND(Ведомость!AE22,2),0),":"),"")</f>
        <v>(50):0:</v>
      </c>
      <c r="AE17" s="39" t="str">
        <f>IF(COLUMN() &lt;= $AK$1,CONCATENATE("(50):",IFERROR(ROUND(Ведомость!AF22,2),0),":"),"")</f>
        <v/>
      </c>
    </row>
    <row r="18" spans="1:31" x14ac:dyDescent="0.25">
      <c r="A18" s="39" t="str">
        <f>CONCATENATE("(60):",IFERROR(ROUND(Ведомость!B16,2),0),":")</f>
        <v>(60):404,12:</v>
      </c>
      <c r="B18" s="39" t="str">
        <f>CONCATENATE("(60):",IFERROR(ROUND(Ведомость!C16,2),0),":")</f>
        <v>(60):308,98:</v>
      </c>
      <c r="C18" s="39" t="str">
        <f>CONCATENATE("(60):",IFERROR(ROUND(Ведомость!D16,2),0),":")</f>
        <v>(60):306,09:</v>
      </c>
      <c r="D18" s="39" t="str">
        <f>CONCATENATE("(60):",IFERROR(ROUND(Ведомость!E16,2),0),":")</f>
        <v>(60):374,36:</v>
      </c>
      <c r="E18" s="39" t="str">
        <f>CONCATENATE("(60):",IFERROR(ROUND(Ведомость!F16,2),0),":")</f>
        <v>(60):372,73:</v>
      </c>
      <c r="F18" s="39" t="str">
        <f>CONCATENATE("(60):",IFERROR(ROUND(Ведомость!G16,2),0),":")</f>
        <v>(60):362,6:</v>
      </c>
      <c r="G18" s="39" t="str">
        <f>CONCATENATE("(60):",IFERROR(ROUND(Ведомость!H16,2),0),":")</f>
        <v>(60):362,57:</v>
      </c>
      <c r="H18" s="39" t="str">
        <f>CONCATENATE("(60):",IFERROR(ROUND(Ведомость!I16,2),0),":")</f>
        <v>(60):362,36:</v>
      </c>
      <c r="I18" s="39" t="str">
        <f>CONCATENATE("(60):",IFERROR(ROUND(Ведомость!J16,2),0),":")</f>
        <v>(60):346,83:</v>
      </c>
      <c r="J18" s="39" t="str">
        <f>CONCATENATE("(60):",IFERROR(ROUND(Ведомость!K16,2),0),":")</f>
        <v>(60):278,81:</v>
      </c>
      <c r="K18" s="39" t="str">
        <f>CONCATENATE("(60):",IFERROR(ROUND(Ведомость!L16,2),0),":")</f>
        <v>(60):343,51:</v>
      </c>
      <c r="L18" s="39" t="str">
        <f>CONCATENATE("(60):",IFERROR(ROUND(Ведомость!M16,2),0),":")</f>
        <v>(60):343,57:</v>
      </c>
      <c r="M18" s="39" t="str">
        <f>CONCATENATE("(60):",IFERROR(ROUND(Ведомость!N16,2),0),":")</f>
        <v>(60):355,7:</v>
      </c>
      <c r="N18" s="39" t="str">
        <f>CONCATENATE("(60):",IFERROR(ROUND(Ведомость!O16,2),0),":")</f>
        <v>(60):363,81:</v>
      </c>
      <c r="O18" s="39" t="str">
        <f>CONCATENATE("(60):",IFERROR(ROUND(Ведомость!P16,2),0),":")</f>
        <v>(60):370,46:</v>
      </c>
      <c r="P18" s="39" t="str">
        <f>CONCATENATE("(60):",IFERROR(ROUND(Ведомость!Q16,2),0),":")</f>
        <v>(60):388,66:</v>
      </c>
      <c r="Q18" s="39" t="str">
        <f>CONCATENATE("(60):",IFERROR(ROUND(Ведомость!R16,2),0),":")</f>
        <v>(60):400:</v>
      </c>
      <c r="R18" s="39" t="str">
        <f>CONCATENATE("(60):",IFERROR(ROUND(Ведомость!S16,2),0),":")</f>
        <v>(60):415,9:</v>
      </c>
      <c r="S18" s="39" t="str">
        <f>CONCATENATE("(60):",IFERROR(ROUND(Ведомость!T16,2),0),":")</f>
        <v>(60):418,8:</v>
      </c>
      <c r="T18" s="39" t="str">
        <f>CONCATENATE("(60):",IFERROR(ROUND(Ведомость!U16,2),0),":")</f>
        <v>(60):419,47:</v>
      </c>
      <c r="U18" s="39" t="str">
        <f>CONCATENATE("(60):",IFERROR(ROUND(Ведомость!V16,2),0),":")</f>
        <v>(60):437,15:</v>
      </c>
      <c r="V18" s="39" t="str">
        <f>CONCATENATE("(60):",IFERROR(ROUND(Ведомость!W16,2),0),":")</f>
        <v>(60):437,77:</v>
      </c>
      <c r="W18" s="39" t="str">
        <f>CONCATENATE("(60):",IFERROR(ROUND(Ведомость!X16,2),0),":")</f>
        <v>(60):398,37:</v>
      </c>
      <c r="X18" s="39" t="str">
        <f>CONCATENATE("(60):",IFERROR(ROUND(Ведомость!Y16,2),0),":")</f>
        <v>(60):387,78:</v>
      </c>
      <c r="Y18" s="39" t="str">
        <f>CONCATENATE("(60):",IFERROR(ROUND(Ведомость!Z16,2),0),":")</f>
        <v>(60):387,71:</v>
      </c>
      <c r="Z18" s="39" t="str">
        <f>CONCATENATE("(60):",IFERROR(ROUND(Ведомость!AA16,2),0),":")</f>
        <v>(60):392,35:</v>
      </c>
      <c r="AA18" s="39" t="str">
        <f>CONCATENATE("(60):",IFERROR(ROUND(Ведомость!AB16,2),0),":")</f>
        <v>(60):414,49:</v>
      </c>
      <c r="AB18" s="39" t="str">
        <f>CONCATENATE("(60):",IFERROR(ROUND(Ведомость!AC16,2),0),":")</f>
        <v>(60):417,37:</v>
      </c>
      <c r="AC18" s="39" t="str">
        <f>IF(COLUMN() &lt;= $AK$1,CONCATENATE("(60):",IFERROR(ROUND(Ведомость!AD16,2),0),":"),"")</f>
        <v>(60):442,53:</v>
      </c>
      <c r="AD18" s="39" t="str">
        <f>IF(COLUMN() &lt;= $AK$1,CONCATENATE("(60):",IFERROR(ROUND(Ведомость!AE16,2),0),":"),"")</f>
        <v>(60):456,62:</v>
      </c>
      <c r="AE18" s="39" t="str">
        <f>IF(COLUMN() &lt;= $AK$1,CONCATENATE("(60):",IFERROR(ROUND(Ведомость!AF16,2),0),":"),"")</f>
        <v/>
      </c>
    </row>
    <row r="19" spans="1:31" x14ac:dyDescent="0.25">
      <c r="A19" s="39" t="str">
        <f>CONCATENATE("(61):",IFERROR(ROUND(Ведомость!B17,2),0),":")</f>
        <v>(61):49,83:</v>
      </c>
      <c r="B19" s="39" t="str">
        <f>CONCATENATE("(61):",IFERROR(ROUND(Ведомость!C17,2),0),":")</f>
        <v>(61):49,89:</v>
      </c>
      <c r="C19" s="39" t="str">
        <f>CONCATENATE("(61):",IFERROR(ROUND(Ведомость!D17,2),0),":")</f>
        <v>(61):59,81:</v>
      </c>
      <c r="D19" s="39" t="str">
        <f>CONCATENATE("(61):",IFERROR(ROUND(Ведомость!E17,2),0),":")</f>
        <v>(61):69,72:</v>
      </c>
      <c r="E19" s="39" t="str">
        <f>CONCATENATE("(61):",IFERROR(ROUND(Ведомость!F17,2),0),":")</f>
        <v>(61):69,52:</v>
      </c>
      <c r="F19" s="39" t="str">
        <f>CONCATENATE("(61):",IFERROR(ROUND(Ведомость!G17,2),0),":")</f>
        <v>(61):69,32:</v>
      </c>
      <c r="G19" s="39" t="str">
        <f>CONCATENATE("(61):",IFERROR(ROUND(Ведомость!H17,2),0),":")</f>
        <v>(61):64,85:</v>
      </c>
      <c r="H19" s="39" t="str">
        <f>CONCATENATE("(61):",IFERROR(ROUND(Ведомость!I17,2),0),":")</f>
        <v>(61):49,84:</v>
      </c>
      <c r="I19" s="39" t="str">
        <f>CONCATENATE("(61):",IFERROR(ROUND(Ведомость!J17,2),0),":")</f>
        <v>(61):132,36:</v>
      </c>
      <c r="J19" s="39" t="str">
        <f>CONCATENATE("(61):",IFERROR(ROUND(Ведомость!K17,2),0),":")</f>
        <v>(61):130,11:</v>
      </c>
      <c r="K19" s="39" t="str">
        <f>CONCATENATE("(61):",IFERROR(ROUND(Ведомость!L17,2),0),":")</f>
        <v>(61):49,92:</v>
      </c>
      <c r="L19" s="39" t="str">
        <f>CONCATENATE("(61):",IFERROR(ROUND(Ведомость!M17,2),0),":")</f>
        <v>(61):49,84:</v>
      </c>
      <c r="M19" s="39" t="str">
        <f>CONCATENATE("(61):",IFERROR(ROUND(Ведомость!N17,2),0),":")</f>
        <v>(61):50,39:</v>
      </c>
      <c r="N19" s="39" t="str">
        <f>CONCATENATE("(61):",IFERROR(ROUND(Ведомость!O17,2),0),":")</f>
        <v>(61):354,85:</v>
      </c>
      <c r="O19" s="39" t="str">
        <f>CONCATENATE("(61):",IFERROR(ROUND(Ведомость!P17,2),0),":")</f>
        <v>(61):362,5:</v>
      </c>
      <c r="P19" s="39" t="str">
        <f>CONCATENATE("(61):",IFERROR(ROUND(Ведомость!Q17,2),0),":")</f>
        <v>(61):274,78:</v>
      </c>
      <c r="Q19" s="39" t="str">
        <f>CONCATENATE("(61):",IFERROR(ROUND(Ведомость!R17,2),0),":")</f>
        <v>(61):282,09:</v>
      </c>
      <c r="R19" s="39" t="str">
        <f>CONCATENATE("(61):",IFERROR(ROUND(Ведомость!S17,2),0),":")</f>
        <v>(61):399,23:</v>
      </c>
      <c r="S19" s="39" t="str">
        <f>CONCATENATE("(61):",IFERROR(ROUND(Ведомость!T17,2),0),":")</f>
        <v>(61):414,69:</v>
      </c>
      <c r="T19" s="39" t="str">
        <f>CONCATENATE("(61):",IFERROR(ROUND(Ведомость!U17,2),0),":")</f>
        <v>(61):416,96:</v>
      </c>
      <c r="U19" s="39" t="str">
        <f>CONCATENATE("(61):",IFERROR(ROUND(Ведомость!V17,2),0),":")</f>
        <v>(61):417,79:</v>
      </c>
      <c r="V19" s="39" t="str">
        <f>CONCATENATE("(61):",IFERROR(ROUND(Ведомость!W17,2),0),":")</f>
        <v>(61):396,73:</v>
      </c>
      <c r="W19" s="39" t="str">
        <f>CONCATENATE("(61):",IFERROR(ROUND(Ведомость!X17,2),0),":")</f>
        <v>(61):385,94:</v>
      </c>
      <c r="X19" s="39" t="str">
        <f>CONCATENATE("(61):",IFERROR(ROUND(Ведомость!Y17,2),0),":")</f>
        <v>(61):376,09:</v>
      </c>
      <c r="Y19" s="39" t="str">
        <f>CONCATENATE("(61):",IFERROR(ROUND(Ведомость!Z17,2),0),":")</f>
        <v>(61):376,78:</v>
      </c>
      <c r="Z19" s="39" t="str">
        <f>CONCATENATE("(61):",IFERROR(ROUND(Ведомость!AA17,2),0),":")</f>
        <v>(61):386,47:</v>
      </c>
      <c r="AA19" s="39" t="str">
        <f>CONCATENATE("(61):",IFERROR(ROUND(Ведомость!AB17,2),0),":")</f>
        <v>(61):389,81:</v>
      </c>
      <c r="AB19" s="39" t="str">
        <f>CONCATENATE("(61):",IFERROR(ROUND(Ведомость!AC17,2),0),":")</f>
        <v>(61):412,12:</v>
      </c>
      <c r="AC19" s="39" t="str">
        <f>IF(COLUMN() &lt;= $AK$1,CONCATENATE("(61):",IFERROR(ROUND(Ведомость!AD17,2),0),":"),"")</f>
        <v>(61):414,65:</v>
      </c>
      <c r="AD19" s="39" t="str">
        <f>IF(COLUMN() &lt;= $AK$1,CONCATENATE("(61):",IFERROR(ROUND(Ведомость!AE17,2),0),":"),"")</f>
        <v>(61):440,17:</v>
      </c>
      <c r="AE19" s="39" t="str">
        <f>IF(COLUMN() &lt;= $AK$1,CONCATENATE("(61):",IFERROR(ROUND(Ведомость!AF17,2),0),":"),"")</f>
        <v/>
      </c>
    </row>
    <row r="20" spans="1:31" x14ac:dyDescent="0.25">
      <c r="A20" s="39" t="str">
        <f>CONCATENATE("(65):",IFERROR(Ведомость!B14*0.001,0),":")</f>
        <v>(65):4,539:</v>
      </c>
      <c r="B20" s="39" t="str">
        <f>CONCATENATE("(65):",IFERROR(Ведомость!C14*0.001,0),":")</f>
        <v>(65):3,711:</v>
      </c>
      <c r="C20" s="39" t="str">
        <f>CONCATENATE("(65):",IFERROR(Ведомость!D14*0.001,0),":")</f>
        <v>(65):3,69:</v>
      </c>
      <c r="D20" s="39" t="str">
        <f>CONCATENATE("(65):",IFERROR(Ведомость!E14*0.001,0),":")</f>
        <v>(65):6,215:</v>
      </c>
      <c r="E20" s="39" t="str">
        <f>CONCATENATE("(65):",IFERROR(Ведомость!F14*0.001,0),":")</f>
        <v>(65):6,217:</v>
      </c>
      <c r="F20" s="39" t="str">
        <f>CONCATENATE("(65):",IFERROR(Ведомость!G14*0.001,0),":")</f>
        <v>(65):6,141:</v>
      </c>
      <c r="G20" s="39" t="str">
        <f>CONCATENATE("(65):",IFERROR(Ведомость!H14*0.001,0),":")</f>
        <v>(65):6,163:</v>
      </c>
      <c r="H20" s="39" t="str">
        <f>CONCATENATE("(65):",IFERROR(Ведомость!I14*0.001,0),":")</f>
        <v>(65):5,768:</v>
      </c>
      <c r="I20" s="39" t="str">
        <f>CONCATENATE("(65):",IFERROR(Ведомость!J14*0.001,0),":")</f>
        <v>(65):5,941:</v>
      </c>
      <c r="J20" s="39" t="str">
        <f>CONCATENATE("(65):",IFERROR(Ведомость!K14*0.001,0),":")</f>
        <v>(65):5,899:</v>
      </c>
      <c r="K20" s="39" t="str">
        <f>CONCATENATE("(65):",IFERROR(Ведомость!L14*0.001,0),":")</f>
        <v>(65):5,998:</v>
      </c>
      <c r="L20" s="39" t="str">
        <f>CONCATENATE("(65):",IFERROR(Ведомость!M14*0.001,0),":")</f>
        <v>(65):5,916:</v>
      </c>
      <c r="M20" s="39" t="str">
        <f>CONCATENATE("(65):",IFERROR(Ведомость!N14*0.001,0),":")</f>
        <v>(65):8,367:</v>
      </c>
      <c r="N20" s="39" t="str">
        <f>CONCATENATE("(65):",IFERROR(Ведомость!O14*0.001,0),":")</f>
        <v>(65):8,708:</v>
      </c>
      <c r="O20" s="39" t="str">
        <f>CONCATENATE("(65):",IFERROR(Ведомость!P14*0.001,0),":")</f>
        <v>(65):8,877:</v>
      </c>
      <c r="P20" s="39" t="str">
        <f>CONCATENATE("(65):",IFERROR(Ведомость!Q14*0.001,0),":")</f>
        <v>(65):8,455:</v>
      </c>
      <c r="Q20" s="39" t="str">
        <f>CONCATENATE("(65):",IFERROR(Ведомость!R14*0.001,0),":")</f>
        <v>(65):8,64:</v>
      </c>
      <c r="R20" s="39" t="str">
        <f>CONCATENATE("(65):",IFERROR(Ведомость!S14*0.001,0),":")</f>
        <v>(65):9,878:</v>
      </c>
      <c r="S20" s="39" t="str">
        <f>CONCATENATE("(65):",IFERROR(Ведомость!T14*0.001,0),":")</f>
        <v>(65):10,03:</v>
      </c>
      <c r="T20" s="39" t="str">
        <f>CONCATENATE("(65):",IFERROR(Ведомость!U14*0.001,0),":")</f>
        <v>(65):10,035:</v>
      </c>
      <c r="U20" s="39" t="str">
        <f>CONCATENATE("(65):",IFERROR(Ведомость!V14*0.001,0),":")</f>
        <v>(65):10,443:</v>
      </c>
      <c r="V20" s="39" t="str">
        <f>CONCATENATE("(65):",IFERROR(Ведомость!W14*0.001,0),":")</f>
        <v>(65):9,594:</v>
      </c>
      <c r="W20" s="39" t="str">
        <f>CONCATENATE("(65):",IFERROR(Ведомость!X14*0.001,0),":")</f>
        <v>(65):9,313:</v>
      </c>
      <c r="X20" s="39" t="str">
        <f>CONCATENATE("(65):",IFERROR(Ведомость!Y14*0.001,0),":")</f>
        <v>(65):9,071:</v>
      </c>
      <c r="Y20" s="39" t="str">
        <f>CONCATENATE("(65):",IFERROR(Ведомость!Z14*0.001,0),":")</f>
        <v>(65):9,258:</v>
      </c>
      <c r="Z20" s="39" t="str">
        <f>CONCATENATE("(65):",IFERROR(Ведомость!AA14*0.001,0),":")</f>
        <v>(65):9,357:</v>
      </c>
      <c r="AA20" s="39" t="str">
        <f>CONCATENATE("(65):",IFERROR(Ведомость!AB14*0.001,0),":")</f>
        <v>(65):9,827:</v>
      </c>
      <c r="AB20" s="39" t="str">
        <f>CONCATENATE("(65):",IFERROR(Ведомость!AC14*0.001,0),":")</f>
        <v>(65):9,956:</v>
      </c>
      <c r="AC20" s="39" t="str">
        <f>IF(COLUMN() &lt;= $AK$1,CONCATENATE("(65):",IFERROR(Ведомость!AD14*0.001,0),":"),"")</f>
        <v>(65):10,57:</v>
      </c>
      <c r="AD20" s="39" t="str">
        <f>IF(COLUMN() &lt;= $AK$1,CONCATENATE("(65):",IFERROR(Ведомость!AE14*0.001,0),":"),"")</f>
        <v>(65):10,91:</v>
      </c>
      <c r="AE20" s="39" t="str">
        <f>IF(COLUMN() &lt;= $AK$1,CONCATENATE("(65):",IFERROR(Ведомость!AF14*0.001,0),":"),"")</f>
        <v/>
      </c>
    </row>
    <row r="21" spans="1:31" x14ac:dyDescent="0.25">
      <c r="A21" s="39" t="str">
        <f>CONCATENATE("(66):",IFERROR(ROUND(Ведомость!B33,2),0),":")</f>
        <v>(66):4,54:</v>
      </c>
      <c r="B21" s="39" t="str">
        <f>CONCATENATE("(66):",IFERROR(ROUND(Ведомость!C33,2),0),":")</f>
        <v>(66):8,25:</v>
      </c>
      <c r="C21" s="39" t="str">
        <f>CONCATENATE("(66):",IFERROR(ROUND(Ведомость!D33,2),0),":")</f>
        <v>(66):11,94:</v>
      </c>
      <c r="D21" s="39" t="str">
        <f>CONCATENATE("(66):",IFERROR(ROUND(Ведомость!E33,2),0),":")</f>
        <v>(66):18,16:</v>
      </c>
      <c r="E21" s="39" t="str">
        <f>CONCATENATE("(66):",IFERROR(ROUND(Ведомость!F33,2),0),":")</f>
        <v>(66):24,37:</v>
      </c>
      <c r="F21" s="39" t="str">
        <f>CONCATENATE("(66):",IFERROR(ROUND(Ведомость!G33,2),0),":")</f>
        <v>(66):30,51:</v>
      </c>
      <c r="G21" s="39" t="str">
        <f>CONCATENATE("(66):",IFERROR(ROUND(Ведомость!H33,2),0),":")</f>
        <v>(66):36,68:</v>
      </c>
      <c r="H21" s="39" t="str">
        <f>CONCATENATE("(66):",IFERROR(ROUND(Ведомость!I33,2),0),":")</f>
        <v>(66):42,44:</v>
      </c>
      <c r="I21" s="39" t="str">
        <f>CONCATENATE("(66):",IFERROR(ROUND(Ведомость!J33,2),0),":")</f>
        <v>(66):48,39:</v>
      </c>
      <c r="J21" s="39" t="str">
        <f>CONCATENATE("(66):",IFERROR(ROUND(Ведомость!K33,2),0),":")</f>
        <v>(66):54,28:</v>
      </c>
      <c r="K21" s="39" t="str">
        <f>CONCATENATE("(66):",IFERROR(ROUND(Ведомость!L33,2),0),":")</f>
        <v>(66):60,28:</v>
      </c>
      <c r="L21" s="39" t="str">
        <f>CONCATENATE("(66):",IFERROR(ROUND(Ведомость!M33,2),0),":")</f>
        <v>(66):66,2:</v>
      </c>
      <c r="M21" s="39" t="str">
        <f>CONCATENATE("(66):",IFERROR(ROUND(Ведомость!N33,2),0),":")</f>
        <v>(66):74,57:</v>
      </c>
      <c r="N21" s="39" t="str">
        <f>CONCATENATE("(66):",IFERROR(ROUND(Ведомость!O33,2),0),":")</f>
        <v>(66):83,27:</v>
      </c>
      <c r="O21" s="39" t="str">
        <f>CONCATENATE("(66):",IFERROR(ROUND(Ведомость!P33,2),0),":")</f>
        <v>(66):92,15:</v>
      </c>
      <c r="P21" s="39" t="str">
        <f>CONCATENATE("(66):",IFERROR(ROUND(Ведомость!Q33,2),0),":")</f>
        <v>(66):100,61:</v>
      </c>
      <c r="Q21" s="39" t="str">
        <f>CONCATENATE("(66):",IFERROR(ROUND(Ведомость!R33,2),0),":")</f>
        <v>(66):109,25:</v>
      </c>
      <c r="R21" s="39" t="str">
        <f>CONCATENATE("(66):",IFERROR(ROUND(Ведомость!S33,2),0),":")</f>
        <v>(66):119,12:</v>
      </c>
      <c r="S21" s="39" t="str">
        <f>CONCATENATE("(66):",IFERROR(ROUND(Ведомость!T33,2),0),":")</f>
        <v>(66):129,15:</v>
      </c>
      <c r="T21" s="39" t="str">
        <f>CONCATENATE("(66):",IFERROR(ROUND(Ведомость!U33,2),0),":")</f>
        <v>(66):139,19:</v>
      </c>
      <c r="U21" s="39" t="str">
        <f>CONCATENATE("(66):",IFERROR(ROUND(Ведомость!V33,2),0),":")</f>
        <v>(66):149,63:</v>
      </c>
      <c r="V21" s="39" t="str">
        <f>CONCATENATE("(66):",IFERROR(ROUND(Ведомость!W33,2),0),":")</f>
        <v>(66):159,23:</v>
      </c>
      <c r="W21" s="39" t="str">
        <f>CONCATENATE("(66):",IFERROR(ROUND(Ведомость!X33,2),0),":")</f>
        <v>(66):168,54:</v>
      </c>
      <c r="X21" s="39" t="str">
        <f>CONCATENATE("(66):",IFERROR(ROUND(Ведомость!Y33,2),0),":")</f>
        <v>(66):177,61:</v>
      </c>
      <c r="Y21" s="39" t="str">
        <f>CONCATENATE("(66):",IFERROR(ROUND(Ведомость!Z33,2),0),":")</f>
        <v>(66):186,87:</v>
      </c>
      <c r="Z21" s="39" t="str">
        <f>CONCATENATE("(66):",IFERROR(ROUND(Ведомость!AA33,2),0),":")</f>
        <v>(66):196,22:</v>
      </c>
      <c r="AA21" s="39" t="str">
        <f>CONCATENATE("(66):",IFERROR(ROUND(Ведомость!AB33,2),0),":")</f>
        <v>(66):206,05:</v>
      </c>
      <c r="AB21" s="39" t="str">
        <f>CONCATENATE("(66):",IFERROR(ROUND(Ведомость!AC33,2),0),":")</f>
        <v>(66):216,01:</v>
      </c>
      <c r="AC21" s="39" t="str">
        <f>IF(COLUMN() &lt;= $AK$1,CONCATENATE("(66):",IFERROR(ROUND(Ведомость!AD33,2),0),":"),"")</f>
        <v>(66):226,58:</v>
      </c>
      <c r="AD21" s="39" t="str">
        <f>IF(COLUMN() &lt;= $AK$1,CONCATENATE("(66):",IFERROR(ROUND(Ведомость!AE33,2),0),":"),"")</f>
        <v>(66):237,49:</v>
      </c>
      <c r="AE21" s="39" t="str">
        <f>IF(COLUMN() &lt;= $AK$1,CONCATENATE("(66):",IFERROR(ROUND(Ведомость!AF33,2),0),":"),"")</f>
        <v/>
      </c>
    </row>
    <row r="22" spans="1:31" x14ac:dyDescent="0.25">
      <c r="A22" s="39" t="str">
        <f>CONCATENATE("(69):",IFERROR(ROUND(Ведомость!B36,3),0),":==")</f>
        <v>(69):4,539:==</v>
      </c>
      <c r="B22" s="39" t="str">
        <f>CONCATENATE("(69):",IFERROR(ROUND(Ведомость!C36,3),0),":==")</f>
        <v>(69):8,25:==</v>
      </c>
      <c r="C22" s="39" t="str">
        <f>CONCATENATE("(69):",IFERROR(ROUND(Ведомость!D36,3),0),":==")</f>
        <v>(69):11,94:==</v>
      </c>
      <c r="D22" s="39" t="str">
        <f>CONCATENATE("(69):",IFERROR(ROUND(Ведомость!E36,3),0),":==")</f>
        <v>(69):18,155:==</v>
      </c>
      <c r="E22" s="39" t="str">
        <f>CONCATENATE("(69):",IFERROR(ROUND(Ведомость!F36,3),0),":==")</f>
        <v>(69):24,372:==</v>
      </c>
      <c r="F22" s="39" t="str">
        <f>CONCATENATE("(69):",IFERROR(ROUND(Ведомость!G36,3),0),":==")</f>
        <v>(69):30,513:==</v>
      </c>
      <c r="G22" s="39" t="str">
        <f>CONCATENATE("(69):",IFERROR(ROUND(Ведомость!H36,3),0),":==")</f>
        <v>(69):36,676:==</v>
      </c>
      <c r="H22" s="39" t="str">
        <f>CONCATENATE("(69):",IFERROR(ROUND(Ведомость!I36,3),0),":==")</f>
        <v>(69):42,444:==</v>
      </c>
      <c r="I22" s="39" t="str">
        <f>CONCATENATE("(69):",IFERROR(ROUND(Ведомость!J36,3),0),":==")</f>
        <v>(69):48,385:==</v>
      </c>
      <c r="J22" s="39" t="str">
        <f>CONCATENATE("(69):",IFERROR(ROUND(Ведомость!K36,3),0),":==")</f>
        <v>(69):54,284:==</v>
      </c>
      <c r="K22" s="39" t="str">
        <f>CONCATENATE("(69):",IFERROR(ROUND(Ведомость!L36,3),0),":==")</f>
        <v>(69):60,282:==</v>
      </c>
      <c r="L22" s="39" t="str">
        <f>CONCATENATE("(69):",IFERROR(ROUND(Ведомость!M36,3),0),":==")</f>
        <v>(69):66,198:==</v>
      </c>
      <c r="M22" s="39" t="str">
        <f>CONCATENATE("(69):",IFERROR(ROUND(Ведомость!N36,3),0),":==")</f>
        <v>(69):74,565:==</v>
      </c>
      <c r="N22" s="39" t="str">
        <f>CONCATENATE("(69):",IFERROR(ROUND(Ведомость!O36,3),0),":==")</f>
        <v>(69):83,273:==</v>
      </c>
      <c r="O22" s="39" t="str">
        <f>CONCATENATE("(69):",IFERROR(ROUND(Ведомость!P36,3),0),":==")</f>
        <v>(69):92,15:==</v>
      </c>
      <c r="P22" s="39" t="str">
        <f>CONCATENATE("(69):",IFERROR(ROUND(Ведомость!Q36,3),0),":==")</f>
        <v>(69):100,605:==</v>
      </c>
      <c r="Q22" s="39" t="str">
        <f>CONCATENATE("(69):",IFERROR(ROUND(Ведомость!R36,3),0),":==")</f>
        <v>(69):109,245:==</v>
      </c>
      <c r="R22" s="39" t="str">
        <f>CONCATENATE("(69):",IFERROR(ROUND(Ведомость!S36,3),0),":==")</f>
        <v>(69):119,123:==</v>
      </c>
      <c r="S22" s="39" t="str">
        <f>CONCATENATE("(69):",IFERROR(ROUND(Ведомость!T36,3),0),":==")</f>
        <v>(69):129,153:==</v>
      </c>
      <c r="T22" s="39" t="str">
        <f>CONCATENATE("(69):",IFERROR(ROUND(Ведомость!U36,3),0),":==")</f>
        <v>(69):139,188:==</v>
      </c>
      <c r="U22" s="39" t="str">
        <f>CONCATENATE("(69):",IFERROR(ROUND(Ведомость!V36,3),0),":==")</f>
        <v>(69):149,631:==</v>
      </c>
      <c r="V22" s="39" t="str">
        <f>CONCATENATE("(69):",IFERROR(ROUND(Ведомость!W36,3),0),":==")</f>
        <v>(69):159,225:==</v>
      </c>
      <c r="W22" s="39" t="str">
        <f>CONCATENATE("(69):",IFERROR(ROUND(Ведомость!X36,3),0),":==")</f>
        <v>(69):168,538:==</v>
      </c>
      <c r="X22" s="39" t="str">
        <f>CONCATENATE("(69):",IFERROR(ROUND(Ведомость!Y36,3),0),":==")</f>
        <v>(69):177,609:==</v>
      </c>
      <c r="Y22" s="39" t="str">
        <f>CONCATENATE("(69):",IFERROR(ROUND(Ведомость!Z36,3),0),":==")</f>
        <v>(69):186,867:==</v>
      </c>
      <c r="Z22" s="39" t="str">
        <f>CONCATENATE("(69):",IFERROR(ROUND(Ведомость!AA36,3),0),":==")</f>
        <v>(69):196,224:==</v>
      </c>
      <c r="AA22" s="39" t="str">
        <f>CONCATENATE("(69):",IFERROR(ROUND(Ведомость!AB36,3),0),":==")</f>
        <v>(69):206,051:==</v>
      </c>
      <c r="AB22" s="39" t="str">
        <f>CONCATENATE("(69):",IFERROR(ROUND(Ведомость!AC36,3),0),":==")</f>
        <v>(69):216,007:==</v>
      </c>
      <c r="AC22" s="39" t="str">
        <f>IF(COLUMN() &lt;= $AK$1,CONCATENATE("(69):",IFERROR(ROUND(Ведомость!AD36,3),0),":=="),"")</f>
        <v>(69):226,577:==</v>
      </c>
      <c r="AD22" s="39" t="str">
        <f>IF(COLUMN() &lt;= $AK$1,CONCATENATE("(69):",IFERROR(ROUND(Ведомость!AE36,3),0),":=="),"")</f>
        <v>(69):237,487:==</v>
      </c>
      <c r="AE22" s="39" t="str">
        <f>IF(COLUMN() &lt;= $AK$1,CONCATENATE("(69):",IFERROR(ROUND(Ведомость!AF36,3),0),":=="),"")</f>
        <v/>
      </c>
    </row>
    <row r="23" spans="1:31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5" spans="1:31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31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3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31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31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31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3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31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2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2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2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2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2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2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2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2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2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2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2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  <row r="99" spans="1:20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</row>
    <row r="100" spans="1:20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</row>
    <row r="101" spans="1:20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</row>
    <row r="102" spans="1:20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</row>
    <row r="103" spans="1:20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</row>
    <row r="104" spans="1:20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</row>
    <row r="105" spans="1:20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</row>
    <row r="106" spans="1:20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</row>
    <row r="107" spans="1:20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</row>
    <row r="108" spans="1:20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</row>
    <row r="109" spans="1:20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</row>
    <row r="110" spans="1:20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</row>
    <row r="111" spans="1:20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</row>
    <row r="112" spans="1:20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</row>
    <row r="113" spans="1:20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</row>
    <row r="114" spans="1:20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</row>
    <row r="115" spans="1:20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</row>
    <row r="116" spans="1:20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</row>
    <row r="119" spans="1:20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</row>
    <row r="121" spans="1:20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</row>
    <row r="122" spans="1:20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</row>
    <row r="123" spans="1:20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</row>
    <row r="124" spans="1:20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</row>
    <row r="125" spans="1:20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</row>
    <row r="126" spans="1:20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</row>
    <row r="127" spans="1:20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</row>
    <row r="128" spans="1:20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</row>
    <row r="129" spans="1:20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</row>
    <row r="130" spans="1:20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</row>
    <row r="131" spans="1:20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</row>
    <row r="132" spans="1:20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</row>
    <row r="133" spans="1:20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</row>
    <row r="134" spans="1:20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</row>
    <row r="135" spans="1:20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</row>
    <row r="136" spans="1:20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</row>
    <row r="137" spans="1:20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</row>
    <row r="138" spans="1:20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</row>
    <row r="139" spans="1:20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</row>
    <row r="140" spans="1:20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</row>
    <row r="141" spans="1:20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"/>
  <sheetViews>
    <sheetView zoomScaleNormal="100" workbookViewId="0"/>
  </sheetViews>
  <sheetFormatPr defaultRowHeight="15" x14ac:dyDescent="0.25"/>
  <cols>
    <col min="1" max="31" width="12.140625" customWidth="1"/>
    <col min="32" max="42" width="9.140625" style="36" customWidth="1"/>
  </cols>
  <sheetData>
    <row r="1" spans="1:31" x14ac:dyDescent="0.25">
      <c r="A1" s="40" t="str">
        <f>IF(COLUMN() &lt;=  'Макет 017'!AK1, CONCATENATE( "01.",TEXT(DATEVALUE(1&amp;LEFT(Ведомость!Q1,4)),"МММ")), "")</f>
        <v>01.апр</v>
      </c>
      <c r="B1" s="40" t="str">
        <f>IF(COLUMN() &lt;=  'Макет 017'!AK1,CONCATENATE( "02.",TEXT(DATEVALUE(1&amp;LEFT(Ведомость!Q1,4)),"МММ")), "")</f>
        <v>02.апр</v>
      </c>
      <c r="C1" s="40" t="str">
        <f>IF(COLUMN() &lt;=  'Макет 017'!AK1,CONCATENATE( "03.",TEXT(DATEVALUE(1&amp;LEFT(Ведомость!Q1,4)),"МММ")), "")</f>
        <v>03.апр</v>
      </c>
      <c r="D1" s="40" t="str">
        <f>IF(COLUMN() &lt;=  'Макет 017'!AK1,CONCATENATE( "04.",TEXT(DATEVALUE(1&amp;LEFT(Ведомость!Q1,4)),"МММ")), "")</f>
        <v>04.апр</v>
      </c>
      <c r="E1" s="40" t="str">
        <f>IF(COLUMN() &lt;=  'Макет 017'!AK1,CONCATENATE( "05.",TEXT(DATEVALUE(1&amp;LEFT(Ведомость!Q1,4)),"МММ")), "")</f>
        <v>05.апр</v>
      </c>
      <c r="F1" s="40" t="str">
        <f>IF(COLUMN() &lt;=  'Макет 017'!AK1,CONCATENATE( "06.",TEXT(DATEVALUE(1&amp;LEFT(Ведомость!Q1,4)),"МММ")), "")</f>
        <v>06.апр</v>
      </c>
      <c r="G1" s="40" t="str">
        <f>IF(COLUMN() &lt;=  'Макет 017'!AK1,CONCATENATE( "07.",TEXT(DATEVALUE(1&amp;LEFT(Ведомость!Q1,4)),"МММ")), "")</f>
        <v>07.апр</v>
      </c>
      <c r="H1" s="40" t="str">
        <f>IF(COLUMN() &lt;=  'Макет 017'!AK1,CONCATENATE( "08.",TEXT(DATEVALUE(1&amp;LEFT(Ведомость!Q1,4)),"МММ")), "")</f>
        <v>08.апр</v>
      </c>
      <c r="I1" s="40" t="str">
        <f>IF(COLUMN() &lt;=  'Макет 017'!AK1,CONCATENATE( "09.",TEXT(DATEVALUE(1&amp;LEFT(Ведомость!Q1,4)),"МММ")), "")</f>
        <v>09.апр</v>
      </c>
      <c r="J1" s="40" t="str">
        <f>IF(COLUMN() &lt;=  'Макет 017'!AK1,CONCATENATE( "10.",TEXT(DATEVALUE(1&amp;LEFT(Ведомость!Q1,4)),"МММ")), "")</f>
        <v>10.апр</v>
      </c>
      <c r="K1" s="40" t="str">
        <f>IF(COLUMN() &lt;=  'Макет 017'!AK1,CONCATENATE( "11.",TEXT(DATEVALUE(1&amp;LEFT(Ведомость!Q1,4)),"МММ")), "")</f>
        <v>11.апр</v>
      </c>
      <c r="L1" s="40" t="str">
        <f>IF(COLUMN() &lt;=  'Макет 017'!AK1,CONCATENATE( "12.",TEXT(DATEVALUE(1&amp;LEFT(Ведомость!Q1,4)),"МММ")), "")</f>
        <v>12.апр</v>
      </c>
      <c r="M1" s="40" t="str">
        <f>IF(COLUMN() &lt;=  'Макет 017'!AK1,CONCATENATE( "13.",TEXT(DATEVALUE(1&amp;LEFT(Ведомость!Q1,4)),"МММ")), "")</f>
        <v>13.апр</v>
      </c>
      <c r="N1" s="40" t="str">
        <f>IF(COLUMN() &lt;=  'Макет 017'!AK1,CONCATENATE( "14.",TEXT(DATEVALUE(1&amp;LEFT(Ведомость!Q1,4)),"МММ")), "")</f>
        <v>14.апр</v>
      </c>
      <c r="O1" s="40" t="str">
        <f>IF(COLUMN() &lt;=  'Макет 017'!AK1,CONCATENATE( "15.",TEXT(DATEVALUE(1&amp;LEFT(Ведомость!Q1,4)),"МММ")), "")</f>
        <v>15.апр</v>
      </c>
      <c r="P1" s="40" t="str">
        <f>IF(COLUMN() &lt;=  'Макет 017'!AK1,CONCATENATE( "16.",TEXT(DATEVALUE(1&amp;LEFT(Ведомость!Q1,4)),"МММ")), "")</f>
        <v>16.апр</v>
      </c>
      <c r="Q1" s="40" t="str">
        <f>IF(COLUMN() &lt;=  'Макет 017'!AK1,CONCATENATE( "17.",TEXT(DATEVALUE(1&amp;LEFT(Ведомость!Q1,4)),"МММ")), "")</f>
        <v>17.апр</v>
      </c>
      <c r="R1" s="40" t="str">
        <f>IF(COLUMN() &lt;=  'Макет 017'!AK1,CONCATENATE( "18.",TEXT(DATEVALUE(1&amp;LEFT(Ведомость!Q1,4)),"МММ")), "")</f>
        <v>18.апр</v>
      </c>
      <c r="S1" s="40" t="str">
        <f>IF(COLUMN() &lt;=  'Макет 017'!AK1,CONCATENATE( "19.",TEXT(DATEVALUE(1&amp;LEFT(Ведомость!Q1,4)),"МММ")), "")</f>
        <v>19.апр</v>
      </c>
      <c r="T1" s="40" t="str">
        <f>IF(COLUMN() &lt;=  'Макет 017'!AK1,CONCATENATE( "20.",TEXT(DATEVALUE(1&amp;LEFT(Ведомость!Q1,4)),"МММ")), "")</f>
        <v>20.апр</v>
      </c>
      <c r="U1" s="40" t="str">
        <f>IF(COLUMN() &lt;=  'Макет 017'!AK1,CONCATENATE( "21.",TEXT(DATEVALUE(1&amp;LEFT(Ведомость!Q1,4)),"МММ")), "")</f>
        <v>21.апр</v>
      </c>
      <c r="V1" s="40" t="str">
        <f>IF(COLUMN() &lt;=  'Макет 017'!AK1,CONCATENATE( "22.",TEXT(DATEVALUE(1&amp;LEFT(Ведомость!Q1,4)),"МММ")), "")</f>
        <v>22.апр</v>
      </c>
      <c r="W1" s="40" t="str">
        <f>IF(COLUMN() &lt;=  'Макет 017'!AK1,CONCATENATE( "23.",TEXT(DATEVALUE(1&amp;LEFT(Ведомость!Q1,4)),"МММ")), "")</f>
        <v>23.апр</v>
      </c>
      <c r="X1" s="40" t="str">
        <f>IF(COLUMN() &lt;=  'Макет 017'!AK1,CONCATENATE( "24.",TEXT(DATEVALUE(1&amp;LEFT(Ведомость!Q1,4)),"МММ")), "")</f>
        <v>24.апр</v>
      </c>
      <c r="Y1" s="40" t="str">
        <f>IF(COLUMN() &lt;=  'Макет 017'!AK1,CONCATENATE( "25.",TEXT(DATEVALUE(1&amp;LEFT(Ведомость!Q1,4)),"МММ")), "")</f>
        <v>25.апр</v>
      </c>
      <c r="Z1" s="40" t="str">
        <f>IF(COLUMN() &lt;=  'Макет 017'!AK1,CONCATENATE( "26.",TEXT(DATEVALUE(1&amp;LEFT(Ведомость!Q1,4)),"МММ")), "")</f>
        <v>26.апр</v>
      </c>
      <c r="AA1" s="40" t="str">
        <f>IF(COLUMN() &lt;=  'Макет 017'!AK1,CONCATENATE( "27.",TEXT(DATEVALUE(1&amp;LEFT(Ведомость!Q1,4)),"МММ")), "")</f>
        <v>27.апр</v>
      </c>
      <c r="AB1" s="40" t="str">
        <f>IF(COLUMN() &lt;=  'Макет 017'!AK1,CONCATENATE( "28.",TEXT(DATEVALUE(1&amp;LEFT(Ведомость!Q1,4)),"МММ")), "")</f>
        <v>28.апр</v>
      </c>
      <c r="AC1" s="40" t="str">
        <f>IF(COLUMN() &lt;=  'Макет 017'!AK1,CONCATENATE( "29.",TEXT(DATEVALUE(1&amp;LEFT(Ведомость!Q1,4)),"МММ")), "")</f>
        <v>29.апр</v>
      </c>
      <c r="AD1" s="40" t="str">
        <f>IF(COLUMN() &lt;=  'Макет 017'!AK1,CONCATENATE( "30.",TEXT(DATEVALUE(1&amp;LEFT(Ведомость!Q1,4)),"МММ")), "")</f>
        <v>30.апр</v>
      </c>
      <c r="AE1" s="40" t="str">
        <f>IF(COLUMN() &lt;=  'Макет 017'!AK1,CONCATENATE( "31.",TEXT(DATEVALUE(1&amp;LEFT(Ведомость!Q1,4)),"МММ")), "")</f>
        <v/>
      </c>
    </row>
    <row r="2" spans="1:31" x14ac:dyDescent="0.25">
      <c r="A2" s="41" t="s">
        <v>62</v>
      </c>
      <c r="B2" s="41" t="s">
        <v>63</v>
      </c>
      <c r="C2" s="41" t="s">
        <v>64</v>
      </c>
      <c r="D2" s="41" t="s">
        <v>62</v>
      </c>
      <c r="E2" s="41" t="s">
        <v>62</v>
      </c>
      <c r="F2" s="41" t="s">
        <v>62</v>
      </c>
      <c r="G2" s="41" t="s">
        <v>62</v>
      </c>
      <c r="H2" s="41" t="s">
        <v>62</v>
      </c>
      <c r="I2" s="41" t="s">
        <v>62</v>
      </c>
      <c r="J2" s="41" t="s">
        <v>62</v>
      </c>
      <c r="K2" s="41" t="s">
        <v>62</v>
      </c>
      <c r="L2" s="41" t="s">
        <v>62</v>
      </c>
      <c r="M2" s="41" t="s">
        <v>62</v>
      </c>
      <c r="N2" s="41" t="s">
        <v>62</v>
      </c>
      <c r="O2" s="41" t="s">
        <v>62</v>
      </c>
      <c r="P2" s="41" t="s">
        <v>62</v>
      </c>
      <c r="Q2" s="41" t="s">
        <v>62</v>
      </c>
      <c r="R2" s="41" t="s">
        <v>62</v>
      </c>
      <c r="S2" s="41" t="s">
        <v>62</v>
      </c>
      <c r="T2" s="41" t="s">
        <v>62</v>
      </c>
      <c r="U2" s="41" t="s">
        <v>62</v>
      </c>
      <c r="V2" s="41" t="s">
        <v>62</v>
      </c>
      <c r="W2" s="41" t="s">
        <v>62</v>
      </c>
      <c r="X2" s="41" t="s">
        <v>62</v>
      </c>
      <c r="Y2" s="41" t="s">
        <v>62</v>
      </c>
      <c r="Z2" s="41" t="s">
        <v>62</v>
      </c>
      <c r="AA2" s="41" t="s">
        <v>65</v>
      </c>
      <c r="AB2" s="41" t="str">
        <f>IF(COLUMN() &lt;=  'Макет 017'!AK1,"ВБтс 8-00","")</f>
        <v>ВБтс 8-00</v>
      </c>
      <c r="AC2" s="41" t="str">
        <f>IF(COLUMN() &lt;=  'Макет 017'!AK1,"ВБтс 8-00","")</f>
        <v>ВБтс 8-00</v>
      </c>
      <c r="AD2" s="41" t="str">
        <f>IF(COLUMN() &lt;=  'Макет 017'!AK1,"ВБтс 8-00","")</f>
        <v>ВБтс 8-00</v>
      </c>
      <c r="AE2" s="41" t="str">
        <f>IF(COLUMN() &lt;=  'Макет 017'!AK1,"ВБтс 8-00","")</f>
        <v/>
      </c>
    </row>
    <row r="3" spans="1:31" x14ac:dyDescent="0.25">
      <c r="A3" s="42">
        <f>Ведомость!C3</f>
        <v>103.07444000244</v>
      </c>
      <c r="B3" s="42">
        <f>Ведомость!D3</f>
        <v>103.04840087891</v>
      </c>
      <c r="C3" s="42">
        <f>Ведомость!E3</f>
        <v>103.00499725342</v>
      </c>
      <c r="D3" s="42">
        <f>Ведомость!F3</f>
        <v>102.8574295044</v>
      </c>
      <c r="E3" s="42">
        <f>Ведомость!G3</f>
        <v>102.81402587891</v>
      </c>
      <c r="F3" s="42">
        <f>Ведомость!H3</f>
        <v>102.71853637695</v>
      </c>
      <c r="G3" s="42">
        <f>Ведомость!I3</f>
        <v>102.68815612793</v>
      </c>
      <c r="H3" s="42">
        <f>Ведомость!J3</f>
        <v>102.53624725342</v>
      </c>
      <c r="I3" s="42">
        <f>Ведомость!K3</f>
        <v>102.61003112793</v>
      </c>
      <c r="J3" s="42">
        <f>Ведомость!L3</f>
        <v>102.61871337891</v>
      </c>
      <c r="K3" s="42">
        <f>Ведомость!M3</f>
        <v>102.80968475342</v>
      </c>
      <c r="L3" s="42">
        <f>Ведомость!N3</f>
        <v>102.87044525147</v>
      </c>
      <c r="M3" s="42">
        <f>Ведомость!O3</f>
        <v>103.08746337891</v>
      </c>
      <c r="N3" s="42">
        <f>Ведомость!P3</f>
        <v>103.30447387695</v>
      </c>
      <c r="O3" s="42">
        <f>Ведомость!Q3</f>
        <v>103.65169525147</v>
      </c>
      <c r="P3" s="42">
        <f>Ведомость!R3</f>
        <v>104.08572387695</v>
      </c>
      <c r="Q3" s="42">
        <f>Ведомость!S3</f>
        <v>104.55447387695</v>
      </c>
      <c r="R3" s="42">
        <f>Ведомость!T3</f>
        <v>105.05833435059</v>
      </c>
      <c r="S3" s="42">
        <f>Ведомость!U3</f>
        <v>105.57746887207</v>
      </c>
      <c r="T3" s="42">
        <f>Ведомость!V3</f>
        <v>106.0631942749</v>
      </c>
      <c r="U3" s="42">
        <f>Ведомость!W3</f>
        <v>106.37097167969</v>
      </c>
      <c r="V3" s="42">
        <f>Ведомость!X3</f>
        <v>106.71517944336</v>
      </c>
      <c r="W3" s="42">
        <f>Ведомость!Y3</f>
        <v>107.02333831787</v>
      </c>
      <c r="X3" s="42">
        <f>Ведомость!Z3</f>
        <v>107.32281494141</v>
      </c>
      <c r="Y3" s="42">
        <f>Ведомость!AA3</f>
        <v>107.60493469238</v>
      </c>
      <c r="Z3" s="42">
        <f>Ведомость!AB3</f>
        <v>107.8349685669</v>
      </c>
      <c r="AA3" s="42">
        <f>Ведомость!AC3</f>
        <v>108.00857543945</v>
      </c>
      <c r="AB3" s="41">
        <f ca="1">IF(COLUMN() &lt;=  'Макет 017'!AK1,IF(Ведомость!AD2="", CELL("содержимое", 'Макет 017'!AM1),Ведомость!AD3),"")</f>
        <v>108.13010406494</v>
      </c>
      <c r="AC3" s="41">
        <f ca="1">IF(COLUMN() &lt;=  'Макет 017'!AK1,IF(Ведомость!AE2="", CELL("содержимое", 'Макет 017'!AM1),Ведомость!AE3),"")</f>
        <v>108.20388793945</v>
      </c>
      <c r="AD3" s="41">
        <f ca="1">IF(COLUMN() &lt;=  'Макет 017'!AK1,IF(Ведомость!AF2="", CELL("содержимое", 'Макет 017'!AM1),Ведомость!AF3),"")</f>
        <v>108.25163269043</v>
      </c>
      <c r="AE3" s="41" t="str">
        <f ca="1">IF(COLUMN() &lt;=  'Макет 017'!AK1,IF(Ведомость!AG2="", CELL("содержимое", 'Макет 017'!AM1),Ведомость!AG3),"")</f>
        <v/>
      </c>
    </row>
    <row r="4" spans="1:31" x14ac:dyDescent="0.25">
      <c r="A4" s="41" t="s">
        <v>66</v>
      </c>
      <c r="B4" s="41" t="s">
        <v>67</v>
      </c>
      <c r="C4" s="41" t="s">
        <v>68</v>
      </c>
      <c r="D4" s="41" t="s">
        <v>66</v>
      </c>
      <c r="E4" s="41" t="s">
        <v>66</v>
      </c>
      <c r="F4" s="41" t="s">
        <v>66</v>
      </c>
      <c r="G4" s="41" t="s">
        <v>66</v>
      </c>
      <c r="H4" s="41" t="s">
        <v>66</v>
      </c>
      <c r="I4" s="41" t="s">
        <v>66</v>
      </c>
      <c r="J4" s="41" t="s">
        <v>66</v>
      </c>
      <c r="K4" s="41" t="s">
        <v>66</v>
      </c>
      <c r="L4" s="41" t="s">
        <v>66</v>
      </c>
      <c r="M4" s="41" t="s">
        <v>66</v>
      </c>
      <c r="N4" s="41" t="s">
        <v>66</v>
      </c>
      <c r="O4" s="41" t="s">
        <v>66</v>
      </c>
      <c r="P4" s="41" t="s">
        <v>66</v>
      </c>
      <c r="Q4" s="41" t="s">
        <v>66</v>
      </c>
      <c r="R4" s="41" t="s">
        <v>66</v>
      </c>
      <c r="S4" s="41" t="s">
        <v>66</v>
      </c>
      <c r="T4" s="41" t="s">
        <v>66</v>
      </c>
      <c r="U4" s="41" t="s">
        <v>66</v>
      </c>
      <c r="V4" s="41" t="s">
        <v>66</v>
      </c>
      <c r="W4" s="41" t="s">
        <v>66</v>
      </c>
      <c r="X4" s="41" t="s">
        <v>66</v>
      </c>
      <c r="Y4" s="41" t="s">
        <v>66</v>
      </c>
      <c r="Z4" s="41" t="s">
        <v>66</v>
      </c>
      <c r="AA4" s="41" t="s">
        <v>69</v>
      </c>
      <c r="AB4" s="41" t="str">
        <f>IF(COLUMN() &lt;=  'Макет 017'!AK1,"НБтс 8-00","")</f>
        <v>НБтс 8-00</v>
      </c>
      <c r="AC4" s="41" t="str">
        <f>IF(COLUMN() &lt;=  'Макет 017'!AK1,"НБтс 8-00","")</f>
        <v>НБтс 8-00</v>
      </c>
      <c r="AD4" s="41" t="str">
        <f>IF(COLUMN() &lt;=  'Макет 017'!AK1,"НБтс 8-00","")</f>
        <v>НБтс 8-00</v>
      </c>
      <c r="AE4" s="41" t="str">
        <f>IF(COLUMN() &lt;=  'Макет 017'!AK1,"НБтс 8-00","")</f>
        <v/>
      </c>
    </row>
    <row r="5" spans="1:31" x14ac:dyDescent="0.25">
      <c r="A5" s="42">
        <f>Ведомость!C4</f>
        <v>86.725555419922003</v>
      </c>
      <c r="B5" s="42">
        <f>Ведомость!D4</f>
        <v>86.57364654541</v>
      </c>
      <c r="C5" s="42">
        <f>Ведомость!E4</f>
        <v>86.72989654541</v>
      </c>
      <c r="D5" s="42">
        <f>Ведомость!F4</f>
        <v>87.294128417969006</v>
      </c>
      <c r="E5" s="42">
        <f>Ведомость!G4</f>
        <v>87.012008666992003</v>
      </c>
      <c r="F5" s="42">
        <f>Ведомость!H4</f>
        <v>87.181282043457003</v>
      </c>
      <c r="G5" s="42">
        <f>Ведомость!I4</f>
        <v>86.942565917969006</v>
      </c>
      <c r="H5" s="42">
        <f>Ведомость!J4</f>
        <v>87.95384979248</v>
      </c>
      <c r="I5" s="42">
        <f>Ведомость!K4</f>
        <v>87.337532043457003</v>
      </c>
      <c r="J5" s="42">
        <f>Ведомость!L4</f>
        <v>87.424339294434006</v>
      </c>
      <c r="K5" s="42">
        <f>Ведомость!M4</f>
        <v>87.007675170897997</v>
      </c>
      <c r="L5" s="42">
        <f>Ведомость!N4</f>
        <v>88.435623168945</v>
      </c>
      <c r="M5" s="42">
        <f>Ведомость!O4</f>
        <v>88.68302154541</v>
      </c>
      <c r="N5" s="42">
        <f>Ведомость!P4</f>
        <v>88.717742919922003</v>
      </c>
      <c r="O5" s="42">
        <f>Ведомость!Q4</f>
        <v>88.505065917969006</v>
      </c>
      <c r="P5" s="42">
        <f>Ведомость!R4</f>
        <v>88.400901794434006</v>
      </c>
      <c r="Q5" s="42">
        <f>Ведомость!S4</f>
        <v>88.583190917969006</v>
      </c>
      <c r="R5" s="42">
        <f>Ведомость!T4</f>
        <v>88.61791229248</v>
      </c>
      <c r="S5" s="42">
        <f>Ведомость!U4</f>
        <v>89.429550170897997</v>
      </c>
      <c r="T5" s="42">
        <f>Ведомость!V4</f>
        <v>90.427810668945</v>
      </c>
      <c r="U5" s="42">
        <f>Ведомость!W4</f>
        <v>91.929550170897997</v>
      </c>
      <c r="V5" s="42">
        <f>Ведомость!X4</f>
        <v>92.545867919922003</v>
      </c>
      <c r="W5" s="42">
        <f>Ведомость!Y4</f>
        <v>92.697776794434006</v>
      </c>
      <c r="X5" s="42">
        <f>Ведомость!Z4</f>
        <v>92.806282043457003</v>
      </c>
      <c r="Y5" s="42">
        <f>Ведомость!AA4</f>
        <v>92.91478729248</v>
      </c>
      <c r="Z5" s="42">
        <f>Ведомость!AB4</f>
        <v>93.03197479248</v>
      </c>
      <c r="AA5" s="42">
        <f>Ведомость!AC4</f>
        <v>93.079719543457003</v>
      </c>
      <c r="AB5" s="42">
        <f ca="1">IF(COLUMN() &lt;=  'Макет 017'!AK1,IF(Ведомость!AD2="", CELL("содержимое", 'Макет 017'!AN1),Ведомость!AD4),"")</f>
        <v>93.218612670897997</v>
      </c>
      <c r="AC5" s="42">
        <f ca="1">IF(COLUMN() &lt;=  'Макет 017'!AK1,IF(Ведомость!AE2="", CELL("содержимое", 'Макет 017'!AN1),Ведомость!AE4),"")</f>
        <v>93.279373168945</v>
      </c>
      <c r="AD5" s="42">
        <f ca="1">IF(COLUMN() &lt;=  'Макет 017'!AK1,IF(Ведомость!AF2="", CELL("содержимое", 'Макет 017'!AN1),Ведомость!AF4),"")</f>
        <v>93.262008666992003</v>
      </c>
      <c r="AE5" s="42" t="str">
        <f ca="1">IF(COLUMN() &lt;=  'Макет 017'!AK1,IF(Ведомость!AG2="", CELL("содержимое", 'Макет 017'!AN1),Ведомость!AG4),"")</f>
        <v/>
      </c>
    </row>
    <row r="6" spans="1:31" x14ac:dyDescent="0.25">
      <c r="A6" s="41" t="s">
        <v>70</v>
      </c>
      <c r="B6" s="41" t="s">
        <v>70</v>
      </c>
      <c r="C6" s="41" t="s">
        <v>70</v>
      </c>
      <c r="D6" s="41" t="s">
        <v>70</v>
      </c>
      <c r="E6" s="41" t="s">
        <v>70</v>
      </c>
      <c r="F6" s="41" t="s">
        <v>70</v>
      </c>
      <c r="G6" s="41" t="s">
        <v>70</v>
      </c>
      <c r="H6" s="41" t="s">
        <v>70</v>
      </c>
      <c r="I6" s="41" t="s">
        <v>70</v>
      </c>
      <c r="J6" s="41" t="s">
        <v>70</v>
      </c>
      <c r="K6" s="41" t="s">
        <v>70</v>
      </c>
      <c r="L6" s="41" t="s">
        <v>70</v>
      </c>
      <c r="M6" s="41" t="s">
        <v>70</v>
      </c>
      <c r="N6" s="41" t="s">
        <v>70</v>
      </c>
      <c r="O6" s="41" t="s">
        <v>70</v>
      </c>
      <c r="P6" s="41" t="s">
        <v>70</v>
      </c>
      <c r="Q6" s="41" t="s">
        <v>70</v>
      </c>
      <c r="R6" s="41" t="s">
        <v>70</v>
      </c>
      <c r="S6" s="41" t="s">
        <v>70</v>
      </c>
      <c r="T6" s="41" t="s">
        <v>70</v>
      </c>
      <c r="U6" s="41" t="s">
        <v>70</v>
      </c>
      <c r="V6" s="41" t="s">
        <v>70</v>
      </c>
      <c r="W6" s="41" t="s">
        <v>70</v>
      </c>
      <c r="X6" s="41" t="s">
        <v>70</v>
      </c>
      <c r="Y6" s="41" t="s">
        <v>70</v>
      </c>
      <c r="Z6" s="41" t="s">
        <v>70</v>
      </c>
      <c r="AA6" s="41" t="s">
        <v>70</v>
      </c>
      <c r="AB6" s="41" t="str">
        <f>IF(COLUMN() &lt;=  'Макет 017'!AK1,"НБ макс","")</f>
        <v>НБ макс</v>
      </c>
      <c r="AC6" s="41" t="str">
        <f>IF(COLUMN() &lt;=  'Макет 017'!AK1,"НБ макс","")</f>
        <v>НБ макс</v>
      </c>
      <c r="AD6" s="41" t="str">
        <f>IF(COLUMN() &lt;=  'Макет 017'!AK1,"НБ макс","")</f>
        <v>НБ макс</v>
      </c>
      <c r="AE6" s="41" t="str">
        <f>IF(COLUMN() &lt;=  'Макет 017'!AK1,"НБ макс","")</f>
        <v/>
      </c>
    </row>
    <row r="7" spans="1:31" x14ac:dyDescent="0.25">
      <c r="A7" s="42">
        <f>Ведомость!B8</f>
        <v>88.431282043457003</v>
      </c>
      <c r="B7" s="42">
        <f>Ведомость!C8</f>
        <v>87.771560668945</v>
      </c>
      <c r="C7" s="42">
        <f>Ведомость!D8</f>
        <v>87.619651794434006</v>
      </c>
      <c r="D7" s="42">
        <f>Ведомость!E8</f>
        <v>88.583190917969006</v>
      </c>
      <c r="E7" s="42">
        <f>Ведомость!F8</f>
        <v>88.596214294434006</v>
      </c>
      <c r="F7" s="42">
        <f>Ведомость!G8</f>
        <v>88.518089294434006</v>
      </c>
      <c r="G7" s="42">
        <f>Ведомость!H8</f>
        <v>88.704719543457003</v>
      </c>
      <c r="H7" s="42">
        <f>Ведомость!I8</f>
        <v>88.639617919922003</v>
      </c>
      <c r="I7" s="42">
        <f>Ведомость!J8</f>
        <v>88.21427154541</v>
      </c>
      <c r="J7" s="42">
        <f>Ведомость!K8</f>
        <v>88.062362670897997</v>
      </c>
      <c r="K7" s="42">
        <f>Ведомость!L8</f>
        <v>88.570175170897997</v>
      </c>
      <c r="L7" s="42">
        <f>Ведомость!M8</f>
        <v>88.400901794434006</v>
      </c>
      <c r="M7" s="42">
        <f>Ведомость!N8</f>
        <v>88.626594543457003</v>
      </c>
      <c r="N7" s="42">
        <f>Ведомость!O8</f>
        <v>88.726425170897997</v>
      </c>
      <c r="O7" s="42">
        <f>Ведомость!P8</f>
        <v>88.72208404541</v>
      </c>
      <c r="P7" s="42">
        <f>Ведомость!Q8</f>
        <v>88.748123168945</v>
      </c>
      <c r="Q7" s="42">
        <f>Ведомость!R8</f>
        <v>88.626594543457003</v>
      </c>
      <c r="R7" s="42">
        <f>Ведомость!S8</f>
        <v>88.626594543457003</v>
      </c>
      <c r="S7" s="42">
        <f>Ведомость!T8</f>
        <v>89.32103729248</v>
      </c>
      <c r="T7" s="42">
        <f>Ведомость!U8</f>
        <v>90.232498168945</v>
      </c>
      <c r="U7" s="42">
        <f>Ведомость!V8</f>
        <v>91.894821166992003</v>
      </c>
      <c r="V7" s="42">
        <f>Ведомость!W8</f>
        <v>92.58927154541</v>
      </c>
      <c r="W7" s="42">
        <f>Ведомость!X8</f>
        <v>92.710800170897997</v>
      </c>
      <c r="X7" s="42">
        <f>Ведомость!Y8</f>
        <v>92.793258666992003</v>
      </c>
      <c r="Y7" s="42">
        <f>Ведомость!Z8</f>
        <v>92.923469543457003</v>
      </c>
      <c r="Z7" s="42">
        <f>Ведомость!AA8</f>
        <v>92.95384979248</v>
      </c>
      <c r="AA7" s="42">
        <f>Ведомость!AB8</f>
        <v>93.05802154541</v>
      </c>
      <c r="AB7" s="42">
        <f>IF(COLUMN() &lt;=  'Макет 017'!AK1,Ведомость!AC8,"")</f>
        <v>93.153503417969006</v>
      </c>
      <c r="AC7" s="42">
        <f>IF(COLUMN() &lt;=  'Макет 017'!AK1,Ведомость!AD8,"")</f>
        <v>93.262008666992003</v>
      </c>
      <c r="AD7" s="42">
        <f>IF(COLUMN() &lt;=  'Макет 017'!AK1,Ведомость!AE8,"")</f>
        <v>93.34447479248</v>
      </c>
      <c r="AE7" s="42" t="str">
        <f>IF(COLUMN() &lt;=  'Макет 017'!AK1,Ведомость!AF8,"")</f>
        <v/>
      </c>
    </row>
    <row r="8" spans="1:31" x14ac:dyDescent="0.25">
      <c r="A8" s="41" t="s">
        <v>71</v>
      </c>
      <c r="B8" s="41" t="s">
        <v>71</v>
      </c>
      <c r="C8" s="41" t="s">
        <v>71</v>
      </c>
      <c r="D8" s="41" t="s">
        <v>71</v>
      </c>
      <c r="E8" s="41" t="s">
        <v>71</v>
      </c>
      <c r="F8" s="41" t="s">
        <v>71</v>
      </c>
      <c r="G8" s="41" t="s">
        <v>71</v>
      </c>
      <c r="H8" s="41" t="s">
        <v>71</v>
      </c>
      <c r="I8" s="41" t="s">
        <v>71</v>
      </c>
      <c r="J8" s="41" t="s">
        <v>71</v>
      </c>
      <c r="K8" s="41" t="s">
        <v>71</v>
      </c>
      <c r="L8" s="41" t="s">
        <v>71</v>
      </c>
      <c r="M8" s="41" t="s">
        <v>71</v>
      </c>
      <c r="N8" s="41" t="s">
        <v>71</v>
      </c>
      <c r="O8" s="41" t="s">
        <v>71</v>
      </c>
      <c r="P8" s="41" t="s">
        <v>71</v>
      </c>
      <c r="Q8" s="41" t="s">
        <v>71</v>
      </c>
      <c r="R8" s="41" t="s">
        <v>71</v>
      </c>
      <c r="S8" s="41" t="s">
        <v>71</v>
      </c>
      <c r="T8" s="41" t="s">
        <v>71</v>
      </c>
      <c r="U8" s="41" t="s">
        <v>71</v>
      </c>
      <c r="V8" s="41" t="s">
        <v>71</v>
      </c>
      <c r="W8" s="41" t="s">
        <v>71</v>
      </c>
      <c r="X8" s="41" t="s">
        <v>71</v>
      </c>
      <c r="Y8" s="41" t="s">
        <v>71</v>
      </c>
      <c r="Z8" s="41" t="s">
        <v>71</v>
      </c>
      <c r="AA8" s="41" t="s">
        <v>71</v>
      </c>
      <c r="AB8" s="41" t="str">
        <f>IF(COLUMN() &lt;=  'Макет 017'!AK1,"НБ мин","")</f>
        <v>НБ мин</v>
      </c>
      <c r="AC8" s="41" t="str">
        <f>IF(COLUMN() &lt;=  'Макет 017'!AK1,"НБ мин","")</f>
        <v>НБ мин</v>
      </c>
      <c r="AD8" s="41" t="str">
        <f>IF(COLUMN() &lt;=  'Макет 017'!AK1,"НБ мин","")</f>
        <v>НБ мин</v>
      </c>
      <c r="AE8" s="41" t="str">
        <f>IF(COLUMN() &lt;=  'Макет 017'!AK1,"НБ мин","")</f>
        <v/>
      </c>
    </row>
    <row r="9" spans="1:31" x14ac:dyDescent="0.25">
      <c r="A9" s="42">
        <f>Ведомость!B9</f>
        <v>86.855758666992003</v>
      </c>
      <c r="B9" s="42">
        <f>Ведомость!C9</f>
        <v>86.595344543457003</v>
      </c>
      <c r="C9" s="42">
        <f>Ведомость!D9</f>
        <v>86.499862670897997</v>
      </c>
      <c r="D9" s="42">
        <f>Ведомость!E9</f>
        <v>86.54759979248</v>
      </c>
      <c r="E9" s="42">
        <f>Ведомость!F9</f>
        <v>86.990310668945</v>
      </c>
      <c r="F9" s="42">
        <f>Ведомость!G9</f>
        <v>87.012008666992003</v>
      </c>
      <c r="G9" s="42">
        <f>Ведомость!H9</f>
        <v>87.13353729248</v>
      </c>
      <c r="H9" s="42">
        <f>Ведомость!I9</f>
        <v>86.942565917969006</v>
      </c>
      <c r="I9" s="42">
        <f>Ведомость!J9</f>
        <v>87.637008666992003</v>
      </c>
      <c r="J9" s="42">
        <f>Ведомость!K9</f>
        <v>87.337532043457003</v>
      </c>
      <c r="K9" s="42">
        <f>Ведомость!L9</f>
        <v>86.959930419922003</v>
      </c>
      <c r="L9" s="42">
        <f>Ведомость!M9</f>
        <v>86.920867919922003</v>
      </c>
      <c r="M9" s="42">
        <f>Ведомость!N9</f>
        <v>87.51114654541</v>
      </c>
      <c r="N9" s="42">
        <f>Ведомость!O9</f>
        <v>88.626594543457003</v>
      </c>
      <c r="O9" s="42">
        <f>Ведомость!P9</f>
        <v>88.68302154541</v>
      </c>
      <c r="P9" s="42">
        <f>Ведомость!Q9</f>
        <v>88.140487670897997</v>
      </c>
      <c r="Q9" s="42">
        <f>Ведомость!R9</f>
        <v>88.040657043457003</v>
      </c>
      <c r="R9" s="42">
        <f>Ведомость!S9</f>
        <v>88.48770904541</v>
      </c>
      <c r="S9" s="42">
        <f>Ведомость!T9</f>
        <v>88.61791229248</v>
      </c>
      <c r="T9" s="42">
        <f>Ведомость!U9</f>
        <v>89.351425170897997</v>
      </c>
      <c r="U9" s="42">
        <f>Ведомость!V9</f>
        <v>90.25853729248</v>
      </c>
      <c r="V9" s="42">
        <f>Ведомость!W9</f>
        <v>91.86009979248</v>
      </c>
      <c r="W9" s="42">
        <f>Ведомость!X9</f>
        <v>92.537185668945</v>
      </c>
      <c r="X9" s="42">
        <f>Ведомость!Y9</f>
        <v>92.693435668945</v>
      </c>
      <c r="Y9" s="42">
        <f>Ведомость!Z9</f>
        <v>92.78458404541</v>
      </c>
      <c r="Z9" s="42">
        <f>Ведомость!AA9</f>
        <v>92.849685668945</v>
      </c>
      <c r="AA9" s="42">
        <f>Ведомость!AB9</f>
        <v>92.923469543457003</v>
      </c>
      <c r="AB9" s="42">
        <f>IF(COLUMN() &lt;=  'Макет 017'!AK1,Ведомость!AC9,"")</f>
        <v>93.040657043457003</v>
      </c>
      <c r="AC9" s="42">
        <f>IF(COLUMN() &lt;=  'Макет 017'!AK1,Ведомость!AD9,"")</f>
        <v>93.11009979248</v>
      </c>
      <c r="AD9" s="42">
        <f>IF(COLUMN() &lt;=  'Макет 017'!AK1,Ведомость!AE9,"")</f>
        <v>93.196907043457003</v>
      </c>
      <c r="AE9" s="42" t="str">
        <f>IF(COLUMN() &lt;=  'Макет 017'!AK1,Ведомость!AF9,"")</f>
        <v/>
      </c>
    </row>
    <row r="10" spans="1:31" x14ac:dyDescent="0.25">
      <c r="A10" s="41" t="s">
        <v>72</v>
      </c>
      <c r="B10" s="41" t="s">
        <v>72</v>
      </c>
      <c r="C10" s="41" t="s">
        <v>72</v>
      </c>
      <c r="D10" s="41" t="s">
        <v>72</v>
      </c>
      <c r="E10" s="41" t="s">
        <v>72</v>
      </c>
      <c r="F10" s="41" t="s">
        <v>72</v>
      </c>
      <c r="G10" s="41" t="s">
        <v>72</v>
      </c>
      <c r="H10" s="41" t="s">
        <v>72</v>
      </c>
      <c r="I10" s="41" t="s">
        <v>72</v>
      </c>
      <c r="J10" s="41" t="s">
        <v>72</v>
      </c>
      <c r="K10" s="41" t="s">
        <v>72</v>
      </c>
      <c r="L10" s="41" t="s">
        <v>72</v>
      </c>
      <c r="M10" s="41" t="s">
        <v>72</v>
      </c>
      <c r="N10" s="41" t="s">
        <v>72</v>
      </c>
      <c r="O10" s="41" t="s">
        <v>72</v>
      </c>
      <c r="P10" s="41" t="s">
        <v>72</v>
      </c>
      <c r="Q10" s="41" t="s">
        <v>72</v>
      </c>
      <c r="R10" s="41" t="s">
        <v>72</v>
      </c>
      <c r="S10" s="41" t="s">
        <v>72</v>
      </c>
      <c r="T10" s="41" t="s">
        <v>72</v>
      </c>
      <c r="U10" s="41" t="s">
        <v>72</v>
      </c>
      <c r="V10" s="41" t="s">
        <v>72</v>
      </c>
      <c r="W10" s="41" t="s">
        <v>72</v>
      </c>
      <c r="X10" s="41" t="s">
        <v>72</v>
      </c>
      <c r="Y10" s="41" t="s">
        <v>72</v>
      </c>
      <c r="Z10" s="41" t="s">
        <v>72</v>
      </c>
      <c r="AA10" s="41" t="s">
        <v>72</v>
      </c>
      <c r="AB10" s="41" t="str">
        <f>IF(COLUMN() &lt;=  'Макет 017'!AK1,"Приток","")</f>
        <v>Приток</v>
      </c>
      <c r="AC10" s="41" t="str">
        <f>IF(COLUMN() &lt;=  'Макет 017'!AK1,"Приток","")</f>
        <v>Приток</v>
      </c>
      <c r="AD10" s="41" t="str">
        <f>IF(COLUMN() &lt;=  'Макет 017'!AK1,"Приток","")</f>
        <v>Приток</v>
      </c>
      <c r="AE10" s="41" t="str">
        <f>IF(COLUMN() &lt;=  'Макет 017'!AK1,"Приток","")</f>
        <v/>
      </c>
    </row>
    <row r="11" spans="1:31" s="43" customFormat="1" x14ac:dyDescent="0.25">
      <c r="A11" s="44">
        <f>Ведомость!B26</f>
        <v>767</v>
      </c>
      <c r="B11" s="44">
        <f>Ведомость!C26</f>
        <v>804</v>
      </c>
      <c r="C11" s="44">
        <f>Ведомость!D26</f>
        <v>842</v>
      </c>
      <c r="D11" s="44">
        <f>Ведомость!E26</f>
        <v>893</v>
      </c>
      <c r="E11" s="44">
        <f>Ведомость!F26</f>
        <v>952</v>
      </c>
      <c r="F11" s="44">
        <f>Ведомость!G26</f>
        <v>1060</v>
      </c>
      <c r="G11" s="44">
        <f>Ведомость!H26</f>
        <v>1280</v>
      </c>
      <c r="H11" s="44">
        <f>Ведомость!I26</f>
        <v>1640</v>
      </c>
      <c r="I11" s="44">
        <f>Ведомость!J26</f>
        <v>2040</v>
      </c>
      <c r="J11" s="44">
        <f>Ведомость!K26</f>
        <v>2760</v>
      </c>
      <c r="K11" s="44">
        <f>Ведомость!L26</f>
        <v>3710</v>
      </c>
      <c r="L11" s="44">
        <f>Ведомость!M26</f>
        <v>4660</v>
      </c>
      <c r="M11" s="44">
        <f>Ведомость!N26</f>
        <v>5500</v>
      </c>
      <c r="N11" s="44">
        <f>Ведомость!O26</f>
        <v>5920</v>
      </c>
      <c r="O11" s="44">
        <f>Ведомость!P26</f>
        <v>6050</v>
      </c>
      <c r="P11" s="44">
        <f>Ведомость!Q26</f>
        <v>7130</v>
      </c>
      <c r="Q11" s="44">
        <f>Ведомость!R26</f>
        <v>8870</v>
      </c>
      <c r="R11" s="44">
        <f>Ведомость!S26</f>
        <v>10310</v>
      </c>
      <c r="S11" s="44">
        <f>Ведомость!T26</f>
        <v>11720</v>
      </c>
      <c r="T11" s="44">
        <f>Ведомость!U26</f>
        <v>13100</v>
      </c>
      <c r="U11" s="44">
        <f>Ведомость!V26</f>
        <v>14200</v>
      </c>
      <c r="V11" s="44">
        <f>Ведомость!W26</f>
        <v>14800</v>
      </c>
      <c r="W11" s="44">
        <f>Ведомость!X26</f>
        <v>15100</v>
      </c>
      <c r="X11" s="44">
        <f>Ведомость!Y26</f>
        <v>15600</v>
      </c>
      <c r="Y11" s="44">
        <f>Ведомость!Z26</f>
        <v>15100</v>
      </c>
      <c r="Z11" s="44">
        <f>Ведомость!AA26</f>
        <v>14600</v>
      </c>
      <c r="AA11" s="44">
        <f>Ведомость!AB26</f>
        <v>13900</v>
      </c>
      <c r="AB11" s="44">
        <f>IF(COLUMN() &lt;=  'Макет 017'!AK1,Ведомость!AC26,"")</f>
        <v>13100</v>
      </c>
      <c r="AC11" s="44">
        <f>IF(COLUMN() &lt;=  'Макет 017'!AK1,Ведомость!AD26,"")</f>
        <v>12100</v>
      </c>
      <c r="AD11" s="44">
        <f>IF(COLUMN() &lt;=  'Макет 017'!AK1,Ведомость!AE26,"")</f>
        <v>11300</v>
      </c>
      <c r="AE11" s="44" t="str">
        <f>IF(COLUMN() &lt;=  'Макет 017'!AK1,Ведомость!AF26,"")</f>
        <v/>
      </c>
    </row>
    <row r="12" spans="1:31" x14ac:dyDescent="0.25">
      <c r="A12" s="41" t="s">
        <v>73</v>
      </c>
      <c r="B12" s="41" t="s">
        <v>73</v>
      </c>
      <c r="C12" s="41" t="s">
        <v>73</v>
      </c>
      <c r="D12" s="41" t="s">
        <v>73</v>
      </c>
      <c r="E12" s="41" t="s">
        <v>73</v>
      </c>
      <c r="F12" s="41" t="s">
        <v>73</v>
      </c>
      <c r="G12" s="41" t="s">
        <v>73</v>
      </c>
      <c r="H12" s="41" t="s">
        <v>73</v>
      </c>
      <c r="I12" s="41" t="s">
        <v>73</v>
      </c>
      <c r="J12" s="41" t="s">
        <v>73</v>
      </c>
      <c r="K12" s="41" t="s">
        <v>73</v>
      </c>
      <c r="L12" s="41" t="s">
        <v>73</v>
      </c>
      <c r="M12" s="41" t="s">
        <v>73</v>
      </c>
      <c r="N12" s="41" t="s">
        <v>73</v>
      </c>
      <c r="O12" s="41" t="s">
        <v>73</v>
      </c>
      <c r="P12" s="41" t="s">
        <v>73</v>
      </c>
      <c r="Q12" s="41" t="s">
        <v>73</v>
      </c>
      <c r="R12" s="41" t="s">
        <v>73</v>
      </c>
      <c r="S12" s="41" t="s">
        <v>73</v>
      </c>
      <c r="T12" s="41" t="s">
        <v>73</v>
      </c>
      <c r="U12" s="41" t="s">
        <v>73</v>
      </c>
      <c r="V12" s="41" t="s">
        <v>73</v>
      </c>
      <c r="W12" s="41" t="s">
        <v>73</v>
      </c>
      <c r="X12" s="41" t="s">
        <v>73</v>
      </c>
      <c r="Y12" s="41" t="s">
        <v>73</v>
      </c>
      <c r="Z12" s="41" t="s">
        <v>73</v>
      </c>
      <c r="AA12" s="41" t="s">
        <v>73</v>
      </c>
      <c r="AB12" s="41" t="str">
        <f>IF(COLUMN() &lt;=  'Макет 017'!AK1,"Расход:","")</f>
        <v>Расход:</v>
      </c>
      <c r="AC12" s="41" t="str">
        <f>IF(COLUMN() &lt;=  'Макет 017'!AK1,"Расход:","")</f>
        <v>Расход:</v>
      </c>
      <c r="AD12" s="41" t="str">
        <f>IF(COLUMN() &lt;=  'Макет 017'!AK1,"Расход:","")</f>
        <v>Расход:</v>
      </c>
      <c r="AE12" s="41" t="str">
        <f>IF(COLUMN() &lt;=  'Макет 017'!AK1,"Расход:","")</f>
        <v/>
      </c>
    </row>
    <row r="13" spans="1:31" x14ac:dyDescent="0.25">
      <c r="A13" s="41" t="s">
        <v>74</v>
      </c>
      <c r="B13" s="41" t="s">
        <v>74</v>
      </c>
      <c r="C13" s="41" t="s">
        <v>74</v>
      </c>
      <c r="D13" s="41" t="s">
        <v>74</v>
      </c>
      <c r="E13" s="41" t="s">
        <v>74</v>
      </c>
      <c r="F13" s="41" t="s">
        <v>74</v>
      </c>
      <c r="G13" s="41" t="s">
        <v>74</v>
      </c>
      <c r="H13" s="41" t="s">
        <v>74</v>
      </c>
      <c r="I13" s="41" t="s">
        <v>74</v>
      </c>
      <c r="J13" s="41" t="s">
        <v>74</v>
      </c>
      <c r="K13" s="41" t="s">
        <v>74</v>
      </c>
      <c r="L13" s="41" t="s">
        <v>74</v>
      </c>
      <c r="M13" s="41" t="s">
        <v>74</v>
      </c>
      <c r="N13" s="41" t="s">
        <v>74</v>
      </c>
      <c r="O13" s="41" t="s">
        <v>74</v>
      </c>
      <c r="P13" s="41" t="s">
        <v>74</v>
      </c>
      <c r="Q13" s="41" t="s">
        <v>74</v>
      </c>
      <c r="R13" s="41" t="s">
        <v>74</v>
      </c>
      <c r="S13" s="41" t="s">
        <v>74</v>
      </c>
      <c r="T13" s="41" t="s">
        <v>74</v>
      </c>
      <c r="U13" s="41" t="s">
        <v>74</v>
      </c>
      <c r="V13" s="41" t="s">
        <v>74</v>
      </c>
      <c r="W13" s="41" t="s">
        <v>74</v>
      </c>
      <c r="X13" s="41" t="s">
        <v>74</v>
      </c>
      <c r="Y13" s="41" t="s">
        <v>74</v>
      </c>
      <c r="Z13" s="41" t="s">
        <v>74</v>
      </c>
      <c r="AA13" s="41" t="s">
        <v>74</v>
      </c>
      <c r="AB13" s="41" t="str">
        <f>IF(COLUMN() &lt;=  'Макет 017'!AK1,"Общий","")</f>
        <v>Общий</v>
      </c>
      <c r="AC13" s="41" t="str">
        <f>IF(COLUMN() &lt;=  'Макет 017'!AK1,"Общий","")</f>
        <v>Общий</v>
      </c>
      <c r="AD13" s="41" t="str">
        <f>IF(COLUMN() &lt;=  'Макет 017'!AK1,"Общий","")</f>
        <v>Общий</v>
      </c>
      <c r="AE13" s="41" t="str">
        <f>IF(COLUMN() &lt;=  'Макет 017'!AK1,"Общий","")</f>
        <v/>
      </c>
    </row>
    <row r="14" spans="1:31" s="43" customFormat="1" x14ac:dyDescent="0.25">
      <c r="A14" s="42">
        <f>Ведомость!B23</f>
        <v>2771.8577027564802</v>
      </c>
      <c r="B14" s="42">
        <f>Ведомость!C23</f>
        <v>2469.6572866122601</v>
      </c>
      <c r="C14" s="42">
        <f>Ведомость!D23</f>
        <v>2444.9877243844699</v>
      </c>
      <c r="D14" s="42">
        <f>Ведомость!E23</f>
        <v>3366.7218973443501</v>
      </c>
      <c r="E14" s="42">
        <f>Ведомость!F23</f>
        <v>3346.26501782777</v>
      </c>
      <c r="F14" s="42">
        <f>Ведомость!G23</f>
        <v>3322.9699893325201</v>
      </c>
      <c r="G14" s="42">
        <f>Ведомость!H23</f>
        <v>3339.32259034142</v>
      </c>
      <c r="H14" s="42">
        <f>Ведомость!I23</f>
        <v>3185.0695677437602</v>
      </c>
      <c r="I14" s="42">
        <f>Ведомость!J23</f>
        <v>3208.1880386968501</v>
      </c>
      <c r="J14" s="42">
        <f>Ведомость!K23</f>
        <v>3174.1916993371301</v>
      </c>
      <c r="K14" s="42">
        <f>Ведомость!L23</f>
        <v>3271.4181923895999</v>
      </c>
      <c r="L14" s="42">
        <f>Ведомость!M23</f>
        <v>3227.67173965642</v>
      </c>
      <c r="M14" s="42">
        <f>Ведомость!N23</f>
        <v>4148.1704226164502</v>
      </c>
      <c r="N14" s="42">
        <f>Ведомость!O23</f>
        <v>4342.9045672573102</v>
      </c>
      <c r="O14" s="42">
        <f>Ведомость!P23</f>
        <v>4407.0661882520899</v>
      </c>
      <c r="P14" s="42">
        <f>Ведомость!Q23</f>
        <v>4497.2378609324896</v>
      </c>
      <c r="Q14" s="42">
        <f>Ведомость!R23</f>
        <v>4601.9132279852802</v>
      </c>
      <c r="R14" s="42">
        <f>Ведомость!S23</f>
        <v>4539.8691199710902</v>
      </c>
      <c r="S14" s="42">
        <f>Ведомость!T23</f>
        <v>4109.4805186333597</v>
      </c>
      <c r="T14" s="42">
        <f>Ведомость!U23</f>
        <v>4732.2734069200797</v>
      </c>
      <c r="U14" s="42">
        <f>Ведомость!V23</f>
        <v>6737.9416788681701</v>
      </c>
      <c r="V14" s="42">
        <f>Ведомость!W23</f>
        <v>8536.4303813608294</v>
      </c>
      <c r="W14" s="42">
        <f>Ведомость!X23</f>
        <v>9057.5127597608898</v>
      </c>
      <c r="X14" s="42">
        <f>Ведомость!Y23</f>
        <v>9015.8800193311108</v>
      </c>
      <c r="Y14" s="42">
        <f>Ведомость!Z23</f>
        <v>9141.5660779455793</v>
      </c>
      <c r="Z14" s="42">
        <f>Ведомость!AA23</f>
        <v>9209.2146326245493</v>
      </c>
      <c r="AA14" s="42">
        <f>Ведомость!AB23</f>
        <v>9448.2339178081293</v>
      </c>
      <c r="AB14" s="42">
        <f>IF(COLUMN() &lt;=  'Макет 017'!AK1,Ведомость!AC23,"")</f>
        <v>9539.2082520542699</v>
      </c>
      <c r="AC14" s="42">
        <f>IF(COLUMN() &lt;=  'Макет 017'!AK1,Ведомость!AD23,"")</f>
        <v>9869.1412411181791</v>
      </c>
      <c r="AD14" s="42">
        <f>IF(COLUMN() &lt;=  'Макет 017'!AK1,Ведомость!AE23,"")</f>
        <v>9881.3706674032492</v>
      </c>
      <c r="AE14" s="44" t="str">
        <f>IF(COLUMN() &lt;=  'Макет 017'!AK1,Ведомость!AF23,"")</f>
        <v/>
      </c>
    </row>
    <row r="15" spans="1:31" x14ac:dyDescent="0.25">
      <c r="A15" s="41" t="s">
        <v>75</v>
      </c>
      <c r="B15" s="41" t="s">
        <v>75</v>
      </c>
      <c r="C15" s="41" t="s">
        <v>75</v>
      </c>
      <c r="D15" s="41" t="s">
        <v>75</v>
      </c>
      <c r="E15" s="41" t="s">
        <v>75</v>
      </c>
      <c r="F15" s="41" t="s">
        <v>75</v>
      </c>
      <c r="G15" s="41" t="s">
        <v>75</v>
      </c>
      <c r="H15" s="41" t="s">
        <v>75</v>
      </c>
      <c r="I15" s="41" t="s">
        <v>75</v>
      </c>
      <c r="J15" s="41" t="s">
        <v>75</v>
      </c>
      <c r="K15" s="41" t="s">
        <v>75</v>
      </c>
      <c r="L15" s="41" t="s">
        <v>75</v>
      </c>
      <c r="M15" s="41" t="s">
        <v>75</v>
      </c>
      <c r="N15" s="41" t="s">
        <v>75</v>
      </c>
      <c r="O15" s="41" t="s">
        <v>75</v>
      </c>
      <c r="P15" s="41" t="s">
        <v>75</v>
      </c>
      <c r="Q15" s="41" t="s">
        <v>75</v>
      </c>
      <c r="R15" s="41" t="s">
        <v>75</v>
      </c>
      <c r="S15" s="41" t="s">
        <v>75</v>
      </c>
      <c r="T15" s="41" t="s">
        <v>75</v>
      </c>
      <c r="U15" s="41" t="s">
        <v>75</v>
      </c>
      <c r="V15" s="41" t="s">
        <v>75</v>
      </c>
      <c r="W15" s="41" t="s">
        <v>75</v>
      </c>
      <c r="X15" s="41" t="s">
        <v>75</v>
      </c>
      <c r="Y15" s="41" t="s">
        <v>75</v>
      </c>
      <c r="Z15" s="41" t="s">
        <v>75</v>
      </c>
      <c r="AA15" s="41" t="s">
        <v>75</v>
      </c>
      <c r="AB15" s="41" t="str">
        <f>IF(COLUMN() &lt;=  'Макет 017'!AK1,"Холостой","")</f>
        <v>Холостой</v>
      </c>
      <c r="AC15" s="41" t="str">
        <f>IF(COLUMN() &lt;=  'Макет 017'!AK1,"Холостой","")</f>
        <v>Холостой</v>
      </c>
      <c r="AD15" s="41" t="str">
        <f>IF(COLUMN() &lt;=  'Макет 017'!AK1,"Холостой","")</f>
        <v>Холостой</v>
      </c>
      <c r="AE15" s="41" t="str">
        <f>IF(COLUMN() &lt;=  'Макет 017'!AK1,"Холостой","")</f>
        <v/>
      </c>
    </row>
    <row r="16" spans="1:31" s="43" customFormat="1" x14ac:dyDescent="0.25">
      <c r="A16" s="42">
        <f>Ведомость!B19</f>
        <v>1335.8673972957099</v>
      </c>
      <c r="B16" s="42">
        <f>Ведомость!C19</f>
        <v>1325.59470341624</v>
      </c>
      <c r="C16" s="42">
        <f>Ведомость!D19</f>
        <v>1318.45249336083</v>
      </c>
      <c r="D16" s="42">
        <f>Ведомость!E19</f>
        <v>1293.8885234383299</v>
      </c>
      <c r="E16" s="42">
        <f>Ведомость!F19</f>
        <v>1270.4984551323</v>
      </c>
      <c r="F16" s="42">
        <f>Ведомость!G19</f>
        <v>1246.37700038614</v>
      </c>
      <c r="G16" s="42">
        <f>Ведомость!H19</f>
        <v>1225.42387139322</v>
      </c>
      <c r="H16" s="42">
        <f>Ведомость!I19</f>
        <v>1213.0782861662601</v>
      </c>
      <c r="I16" s="42">
        <f>Ведомость!J19</f>
        <v>1200.5139632145499</v>
      </c>
      <c r="J16" s="42">
        <f>Ведомость!K19</f>
        <v>1209.96606372107</v>
      </c>
      <c r="K16" s="42">
        <f>Ведомость!L19</f>
        <v>1228.6174438389701</v>
      </c>
      <c r="L16" s="42">
        <f>Ведомость!M19</f>
        <v>1266.6907928037899</v>
      </c>
      <c r="M16" s="42">
        <f>Ведомость!N19</f>
        <v>1299.41703210235</v>
      </c>
      <c r="N16" s="42">
        <f>Ведомость!O19</f>
        <v>1349.007771797</v>
      </c>
      <c r="O16" s="42">
        <f>Ведомость!P19</f>
        <v>1415.54895877594</v>
      </c>
      <c r="P16" s="42">
        <f>Ведомость!Q19</f>
        <v>1505.72063145634</v>
      </c>
      <c r="Q16" s="42">
        <f>Ведомость!R19</f>
        <v>1610.3959985091301</v>
      </c>
      <c r="R16" s="42">
        <f>Ведомость!S19</f>
        <v>1548.3518904949401</v>
      </c>
      <c r="S16" s="42">
        <f>Ведомость!T19</f>
        <v>1117.9632891572101</v>
      </c>
      <c r="T16" s="42">
        <f>Ведомость!U19</f>
        <v>1740.75617744393</v>
      </c>
      <c r="U16" s="42">
        <f>Ведомость!V19</f>
        <v>3746.4244493920201</v>
      </c>
      <c r="V16" s="42">
        <f>Ведомость!W19</f>
        <v>5307.6960256656903</v>
      </c>
      <c r="W16" s="42">
        <f>Ведомость!X19</f>
        <v>5788.6250162451297</v>
      </c>
      <c r="X16" s="42">
        <f>Ведомость!Y19</f>
        <v>5919.65647673083</v>
      </c>
      <c r="Y16" s="42">
        <f>Ведомость!Z19</f>
        <v>6024.9466267071002</v>
      </c>
      <c r="Z16" s="42">
        <f>Ведомость!AA19</f>
        <v>6118.6178515904003</v>
      </c>
      <c r="AA16" s="42">
        <f>Ведомость!AB19</f>
        <v>6191.7420169511697</v>
      </c>
      <c r="AB16" s="42">
        <f>IF(COLUMN() &lt;=  'Макет 017'!AK1,Ведомость!AC19,"")</f>
        <v>6256.8130185705804</v>
      </c>
      <c r="AC16" s="42">
        <f>IF(COLUMN() &lt;=  'Макет 017'!AK1,Ведомость!AD19,"")</f>
        <v>6295.9326828890898</v>
      </c>
      <c r="AD16" s="42">
        <f>IF(COLUMN() &lt;=  'Макет 017'!AK1,Ведомость!AE19,"")</f>
        <v>6144.3151305005604</v>
      </c>
      <c r="AE16" s="44" t="str">
        <f>IF(COLUMN() &lt;=  'Макет 017'!AK1,Ведомость!AF19,"")</f>
        <v/>
      </c>
    </row>
  </sheetData>
  <pageMargins left="0.7" right="0.7" top="0.75" bottom="0.75" header="0.3" footer="0.3"/>
  <pageSetup paperSize="9" fitToWidth="0" fitToHeight="0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Normal="100" workbookViewId="0">
      <selection activeCell="C1" sqref="C1"/>
    </sheetView>
  </sheetViews>
  <sheetFormatPr defaultRowHeight="15" x14ac:dyDescent="0.25"/>
  <cols>
    <col min="1" max="1" width="18.7109375" customWidth="1"/>
    <col min="2" max="2" width="14.85546875" customWidth="1"/>
    <col min="3" max="3" width="14.85546875" style="45" customWidth="1"/>
    <col min="4" max="4" width="14.85546875" customWidth="1"/>
    <col min="5" max="27" width="9.140625" style="36" customWidth="1"/>
  </cols>
  <sheetData>
    <row r="1" spans="1:4" x14ac:dyDescent="0.25">
      <c r="A1" t="str">
        <f>IF(ROW() &lt;=  'Макет 017'!AK1,"//12320:0:"&amp;  CONCATENATE(YEAR(DATEVALUE("1."&amp;RIGHT(Ведомость!Q1,4))), TEXT(DATEVALUE(1&amp;LEFT(Ведомость!Q1,4)),"ММ"),"01"), "")</f>
        <v>//12320:0:20160401</v>
      </c>
      <c r="B1" s="46" t="s">
        <v>76</v>
      </c>
      <c r="C1" s="43">
        <f>IF(Ведомость!B42="","",Ведомость!B42*1000)</f>
        <v>85591</v>
      </c>
      <c r="D1" s="46" t="str">
        <f>D2</f>
        <v>:0:==</v>
      </c>
    </row>
    <row r="2" spans="1:4" x14ac:dyDescent="0.25">
      <c r="A2" t="str">
        <f>IF(ROW() &lt;=  'Макет 017'!AK1,"//12320:0:"&amp;  CONCATENATE(YEAR(DATEVALUE("1."&amp;RIGHT(Ведомость!Q1,4))), TEXT(DATEVALUE(1&amp;LEFT(Ведомость!Q1,4)),"ММ"),"02"), "")</f>
        <v>//12320:0:20160402</v>
      </c>
      <c r="B2" s="46" t="s">
        <v>76</v>
      </c>
      <c r="C2" s="43">
        <f>IF(Ведомость!C42="","",Ведомость!C42*1000)</f>
        <v>77803</v>
      </c>
      <c r="D2" s="46" t="s">
        <v>77</v>
      </c>
    </row>
    <row r="3" spans="1:4" x14ac:dyDescent="0.25">
      <c r="A3" t="str">
        <f>IF(ROW() &lt;=  'Макет 017'!AK1,"//12320:0:"&amp;  CONCATENATE(YEAR(DATEVALUE("1."&amp;RIGHT(Ведомость!Q1,4))), TEXT(DATEVALUE(1&amp;LEFT(Ведомость!Q1,4)),"ММ"),"03"), "")</f>
        <v>//12320:0:20160403</v>
      </c>
      <c r="B3" s="46" t="s">
        <v>76</v>
      </c>
      <c r="C3" s="43">
        <f>IF(Ведомость!D42="","",Ведомость!D42*1000)</f>
        <v>76043</v>
      </c>
      <c r="D3" s="46" t="s">
        <v>77</v>
      </c>
    </row>
    <row r="4" spans="1:4" x14ac:dyDescent="0.25">
      <c r="A4" t="str">
        <f>IF(ROW() &lt;=  'Макет 017'!AK1,"//12320:0:"&amp;  CONCATENATE(YEAR(DATEVALUE("1."&amp;RIGHT(Ведомость!Q1,4))), TEXT(DATEVALUE(1&amp;LEFT(Ведомость!Q1,4)),"ММ"),"04"), "")</f>
        <v>//12320:0:20160404</v>
      </c>
      <c r="B4" s="46" t="s">
        <v>76</v>
      </c>
      <c r="C4" s="43">
        <f>IF(Ведомость!E42="","",Ведомость!E42*1000)</f>
        <v>91826</v>
      </c>
      <c r="D4" s="46" t="s">
        <v>77</v>
      </c>
    </row>
    <row r="5" spans="1:4" x14ac:dyDescent="0.25">
      <c r="A5" t="str">
        <f>IF(ROW() &lt;=  'Макет 017'!AK1,"//12320:0:"&amp;  CONCATENATE(YEAR(DATEVALUE("1."&amp;RIGHT(Ведомость!Q1,4))), TEXT(DATEVALUE(1&amp;LEFT(Ведомость!Q1,4)),"ММ"),"05"), "")</f>
        <v>//12320:0:20160405</v>
      </c>
      <c r="B5" s="46" t="s">
        <v>76</v>
      </c>
      <c r="C5" s="43">
        <f>IF(Ведомость!F42="","",Ведомость!F42*1000)</f>
        <v>88956</v>
      </c>
      <c r="D5" s="46" t="s">
        <v>77</v>
      </c>
    </row>
    <row r="6" spans="1:4" x14ac:dyDescent="0.25">
      <c r="A6" t="str">
        <f>IF(ROW() &lt;=  'Макет 017'!AK1,"//12320:0:"&amp;  CONCATENATE(YEAR(DATEVALUE("1."&amp;RIGHT(Ведомость!Q1,4))), TEXT(DATEVALUE(1&amp;LEFT(Ведомость!Q1,4)),"ММ"),"06"), "")</f>
        <v>//12320:0:20160406</v>
      </c>
      <c r="B6" s="46" t="s">
        <v>76</v>
      </c>
      <c r="C6" s="43">
        <f>IF(Ведомость!G42="","",Ведомость!G42*1000)</f>
        <v>90264</v>
      </c>
      <c r="D6" s="46" t="s">
        <v>77</v>
      </c>
    </row>
    <row r="7" spans="1:4" x14ac:dyDescent="0.25">
      <c r="A7" t="str">
        <f>IF(ROW() &lt;=  'Макет 017'!AK1,"//12320:0:"&amp;  CONCATENATE(YEAR(DATEVALUE("1."&amp;RIGHT(Ведомость!Q1,4))), TEXT(DATEVALUE(1&amp;LEFT(Ведомость!Q1,4)),"ММ"),"07"), "")</f>
        <v>//12320:0:20160407</v>
      </c>
      <c r="B7" s="46" t="s">
        <v>76</v>
      </c>
      <c r="C7" s="43">
        <f>IF(Ведомость!H42="","",Ведомость!H42*1000)</f>
        <v>85433</v>
      </c>
      <c r="D7" s="46" t="s">
        <v>77</v>
      </c>
    </row>
    <row r="8" spans="1:4" x14ac:dyDescent="0.25">
      <c r="A8" t="str">
        <f>IF(ROW() &lt;=  'Макет 017'!AK1,"//12320:0:"&amp;  CONCATENATE(YEAR(DATEVALUE("1."&amp;RIGHT(Ведомость!Q1,4))), TEXT(DATEVALUE(1&amp;LEFT(Ведомость!Q1,4)),"ММ"),"08"), "")</f>
        <v>//12320:0:20160408</v>
      </c>
      <c r="B8" s="46" t="s">
        <v>76</v>
      </c>
      <c r="C8" s="43">
        <f>IF(Ведомость!I42="","",Ведомость!I42*1000)</f>
        <v>83374</v>
      </c>
      <c r="D8" s="46" t="s">
        <v>77</v>
      </c>
    </row>
    <row r="9" spans="1:4" x14ac:dyDescent="0.25">
      <c r="A9" t="str">
        <f>IF(ROW() &lt;=  'Макет 017'!AK1,"//12320:0:"&amp;  CONCATENATE(YEAR(DATEVALUE("1."&amp;RIGHT(Ведомость!Q1,4))), TEXT(DATEVALUE(1&amp;LEFT(Ведомость!Q1,4)),"ММ"),"09"), "")</f>
        <v>//12320:0:20160409</v>
      </c>
      <c r="B9" s="46" t="s">
        <v>76</v>
      </c>
      <c r="C9" s="43">
        <f>IF(Ведомость!J42="","",Ведомость!J42*1000)</f>
        <v>82557</v>
      </c>
      <c r="D9" s="46" t="s">
        <v>77</v>
      </c>
    </row>
    <row r="10" spans="1:4" x14ac:dyDescent="0.25">
      <c r="A10" t="str">
        <f>IF(ROW() &lt;=  'Макет 017'!AK1,"//12320:0:"&amp;  CONCATENATE(YEAR(DATEVALUE("1."&amp;RIGHT(Ведомость!Q1,4))), TEXT(DATEVALUE(1&amp;LEFT(Ведомость!Q1,4)),"ММ"),"10"), "")</f>
        <v>//12320:0:20160410</v>
      </c>
      <c r="B10" s="46" t="s">
        <v>76</v>
      </c>
      <c r="C10" s="43">
        <f>IF(Ведомость!K42="","",Ведомость!K42*1000)</f>
        <v>82538</v>
      </c>
      <c r="D10" s="46" t="s">
        <v>77</v>
      </c>
    </row>
    <row r="11" spans="1:4" x14ac:dyDescent="0.25">
      <c r="A11" t="str">
        <f>IF(ROW() &lt;=  'Макет 017'!AK1,"//12320:0:"&amp;  CONCATENATE(YEAR(DATEVALUE("1."&amp;RIGHT(Ведомость!Q1,4))), TEXT(DATEVALUE(1&amp;LEFT(Ведомость!Q1,4)),"ММ"),"11"), "")</f>
        <v>//12320:0:20160411</v>
      </c>
      <c r="B11" s="46" t="s">
        <v>76</v>
      </c>
      <c r="C11" s="43">
        <f>IF(Ведомость!L42="","",Ведомость!L42*1000)</f>
        <v>86768</v>
      </c>
      <c r="D11" s="46" t="s">
        <v>77</v>
      </c>
    </row>
    <row r="12" spans="1:4" x14ac:dyDescent="0.25">
      <c r="A12" t="str">
        <f>IF(ROW() &lt;=  'Макет 017'!AK1,"//12320:0:"&amp;  CONCATENATE(YEAR(DATEVALUE("1."&amp;RIGHT(Ведомость!Q1,4))), TEXT(DATEVALUE(1&amp;LEFT(Ведомость!Q1,4)),"ММ"),"12"), "")</f>
        <v>//12320:0:20160412</v>
      </c>
      <c r="B12" s="46" t="s">
        <v>76</v>
      </c>
      <c r="C12" s="43">
        <f>IF(Ведомость!M42="","",Ведомость!M42*1000)</f>
        <v>87843</v>
      </c>
      <c r="D12" s="46" t="s">
        <v>77</v>
      </c>
    </row>
    <row r="13" spans="1:4" x14ac:dyDescent="0.25">
      <c r="A13" t="str">
        <f>IF(ROW() &lt;=  'Макет 017'!AK1,"//12320:0:"&amp;  CONCATENATE(YEAR(DATEVALUE("1."&amp;RIGHT(Ведомость!Q1,4))), TEXT(DATEVALUE(1&amp;LEFT(Ведомость!Q1,4)),"ММ"),"13"), "")</f>
        <v>//12320:0:20160413</v>
      </c>
      <c r="B13" s="47" t="s">
        <v>76</v>
      </c>
      <c r="C13" s="43">
        <f>IF(Ведомость!N42="","",Ведомость!N42*1000)</f>
        <v>92626</v>
      </c>
      <c r="D13" s="47" t="s">
        <v>77</v>
      </c>
    </row>
    <row r="14" spans="1:4" x14ac:dyDescent="0.25">
      <c r="A14" t="str">
        <f>IF(ROW() &lt;=  'Макет 017'!AK1,"//12320:0:"&amp;  CONCATENATE(YEAR(DATEVALUE("1."&amp;RIGHT(Ведомость!Q1,4))), TEXT(DATEVALUE(1&amp;LEFT(Ведомость!Q1,4)),"ММ"),"14"), "")</f>
        <v>//12320:0:20160414</v>
      </c>
      <c r="B14" s="47" t="s">
        <v>76</v>
      </c>
      <c r="C14" s="43">
        <f>IF(Ведомость!O42="","",Ведомость!O42*1000)</f>
        <v>91789</v>
      </c>
      <c r="D14" s="47" t="s">
        <v>77</v>
      </c>
    </row>
    <row r="15" spans="1:4" x14ac:dyDescent="0.25">
      <c r="A15" t="str">
        <f>IF(ROW() &lt;=  'Макет 017'!AK1,"//12320:0:"&amp;  CONCATENATE(YEAR(DATEVALUE("1."&amp;RIGHT(Ведомость!Q1,4))), TEXT(DATEVALUE(1&amp;LEFT(Ведомость!Q1,4)),"ММ"),"15"), "")</f>
        <v>//12320:0:20160415</v>
      </c>
      <c r="B15" s="47" t="s">
        <v>76</v>
      </c>
      <c r="C15" s="43">
        <f>IF(Ведомость!P42="","",Ведомость!P42*1000)</f>
        <v>90298</v>
      </c>
      <c r="D15" s="47" t="s">
        <v>77</v>
      </c>
    </row>
    <row r="16" spans="1:4" x14ac:dyDescent="0.25">
      <c r="A16" t="str">
        <f>IF(ROW() &lt;=  'Макет 017'!AK1,"//12320:0:"&amp;  CONCATENATE(YEAR(DATEVALUE("1."&amp;RIGHT(Ведомость!Q1,4))), TEXT(DATEVALUE(1&amp;LEFT(Ведомость!Q1,4)),"ММ"),"16"), "")</f>
        <v>//12320:0:20160416</v>
      </c>
      <c r="B16" s="47" t="s">
        <v>76</v>
      </c>
      <c r="C16" s="43">
        <f>IF(Ведомость!Q42="","",Ведомость!Q42*1000)</f>
        <v>89521</v>
      </c>
      <c r="D16" s="47" t="s">
        <v>77</v>
      </c>
    </row>
    <row r="17" spans="1:4" x14ac:dyDescent="0.25">
      <c r="A17" t="str">
        <f>IF(ROW() &lt;=  'Макет 017'!AK1,"//12320:0:"&amp;  CONCATENATE(YEAR(DATEVALUE("1."&amp;RIGHT(Ведомость!Q1,4))), TEXT(DATEVALUE(1&amp;LEFT(Ведомость!Q1,4)),"ММ"),"17"), "")</f>
        <v>//12320:0:20160417</v>
      </c>
      <c r="B17" s="47" t="s">
        <v>76</v>
      </c>
      <c r="C17" s="43">
        <f>IF(Ведомость!R42="","",Ведомость!R42*1000)</f>
        <v>90847</v>
      </c>
      <c r="D17" s="47" t="s">
        <v>77</v>
      </c>
    </row>
    <row r="18" spans="1:4" x14ac:dyDescent="0.25">
      <c r="A18" t="str">
        <f>IF(ROW() &lt;=  'Макет 017'!AK1,"//12320:0:"&amp;  CONCATENATE(YEAR(DATEVALUE("1."&amp;RIGHT(Ведомость!Q1,4))), TEXT(DATEVALUE(1&amp;LEFT(Ведомость!Q1,4)),"ММ"),"18"), "")</f>
        <v>//12320:0:20160418</v>
      </c>
      <c r="B18" s="47" t="s">
        <v>76</v>
      </c>
      <c r="C18" s="43">
        <f>IF(Ведомость!S42="","",Ведомость!S42*1000)</f>
        <v>92528</v>
      </c>
      <c r="D18" s="47" t="s">
        <v>77</v>
      </c>
    </row>
    <row r="19" spans="1:4" x14ac:dyDescent="0.25">
      <c r="A19" t="str">
        <f>IF(ROW() &lt;=  'Макет 017'!AK1,"//12320:0:"&amp;  CONCATENATE(YEAR(DATEVALUE("1."&amp;RIGHT(Ведомость!Q1,4))), TEXT(DATEVALUE(1&amp;LEFT(Ведомость!Q1,4)),"ММ"),"19"), "")</f>
        <v>//12320:0:20160419</v>
      </c>
      <c r="B19" s="47" t="s">
        <v>76</v>
      </c>
      <c r="C19" s="43">
        <f>IF(Ведомость!T42="","",Ведомость!T42*1000)</f>
        <v>90622</v>
      </c>
      <c r="D19" s="47" t="s">
        <v>77</v>
      </c>
    </row>
    <row r="20" spans="1:4" x14ac:dyDescent="0.25">
      <c r="A20" t="str">
        <f>IF(ROW() &lt;=  'Макет 017'!AK1,"//12320:0:"&amp;  CONCATENATE(YEAR(DATEVALUE("1."&amp;RIGHT(Ведомость!Q1,4))), TEXT(DATEVALUE(1&amp;LEFT(Ведомость!Q1,4)),"ММ"),"20"), "")</f>
        <v>//12320:0:20160420</v>
      </c>
      <c r="B20" s="47" t="s">
        <v>76</v>
      </c>
      <c r="C20" s="43">
        <f>IF(Ведомость!U42="","",Ведомость!U42*1000)</f>
        <v>93340</v>
      </c>
      <c r="D20" s="47" t="s">
        <v>77</v>
      </c>
    </row>
    <row r="21" spans="1:4" x14ac:dyDescent="0.25">
      <c r="A21" t="str">
        <f>IF(ROW() &lt;=  'Макет 017'!AK1,"//12320:0:"&amp;  CONCATENATE(YEAR(DATEVALUE("1."&amp;RIGHT(Ведомость!Q1,4))), TEXT(DATEVALUE(1&amp;LEFT(Ведомость!Q1,4)),"ММ"),"21"), "")</f>
        <v>//12320:0:20160421</v>
      </c>
      <c r="B21" s="46" t="s">
        <v>76</v>
      </c>
      <c r="C21" s="43">
        <f>IF(Ведомость!V42="","",Ведомость!V42*1000)</f>
        <v>96056</v>
      </c>
      <c r="D21" s="46" t="s">
        <v>77</v>
      </c>
    </row>
    <row r="22" spans="1:4" x14ac:dyDescent="0.25">
      <c r="A22" t="str">
        <f>IF(ROW() &lt;=  'Макет 017'!AK1,"//12320:0:"&amp;  CONCATENATE(YEAR(DATEVALUE("1."&amp;RIGHT(Ведомость!Q1,4))), TEXT(DATEVALUE(1&amp;LEFT(Ведомость!Q1,4)),"ММ"),"22"), "")</f>
        <v>//12320:0:20160422</v>
      </c>
      <c r="B22" s="46" t="s">
        <v>76</v>
      </c>
      <c r="C22" s="43">
        <f>IF(Ведомость!W42="","",Ведомость!W42*1000)</f>
        <v>89435</v>
      </c>
      <c r="D22" s="46" t="s">
        <v>77</v>
      </c>
    </row>
    <row r="23" spans="1:4" x14ac:dyDescent="0.25">
      <c r="A23" t="str">
        <f>IF(ROW() &lt;=  'Макет 017'!AK1,"//12320:0:"&amp;  CONCATENATE(YEAR(DATEVALUE("1."&amp;RIGHT(Ведомость!Q1,4))), TEXT(DATEVALUE(1&amp;LEFT(Ведомость!Q1,4)),"ММ"),"23"), "")</f>
        <v>//12320:0:20160423</v>
      </c>
      <c r="B23" s="46" t="s">
        <v>76</v>
      </c>
      <c r="C23" s="43">
        <f>IF(Ведомость!X42="","",Ведомость!X42*1000)</f>
        <v>87322</v>
      </c>
      <c r="D23" s="46" t="s">
        <v>77</v>
      </c>
    </row>
    <row r="24" spans="1:4" x14ac:dyDescent="0.25">
      <c r="A24" t="str">
        <f>IF(ROW() &lt;=  'Макет 017'!AK1,"//12320:0:"&amp;  CONCATENATE(YEAR(DATEVALUE("1."&amp;RIGHT(Ведомость!Q1,4))), TEXT(DATEVALUE(1&amp;LEFT(Ведомость!Q1,4)),"ММ"),"24"), "")</f>
        <v>//12320:0:20160424</v>
      </c>
      <c r="B24" s="46" t="s">
        <v>76</v>
      </c>
      <c r="C24" s="43">
        <f>IF(Ведомость!Y42="","",Ведомость!Y42*1000)</f>
        <v>86871</v>
      </c>
      <c r="D24" s="46" t="s">
        <v>77</v>
      </c>
    </row>
    <row r="25" spans="1:4" x14ac:dyDescent="0.25">
      <c r="A25" t="str">
        <f>IF(ROW() &lt;=  'Макет 017'!AK1,"//12320:0:"&amp;  CONCATENATE(YEAR(DATEVALUE("1."&amp;RIGHT(Ведомость!Q1,4))), TEXT(DATEVALUE(1&amp;LEFT(Ведомость!Q1,4)),"ММ"),"25"), "")</f>
        <v>//12320:0:20160425</v>
      </c>
      <c r="B25" s="46" t="s">
        <v>76</v>
      </c>
      <c r="C25" s="43">
        <f>IF(Ведомость!Z42="","",Ведомость!Z42*1000)</f>
        <v>79510</v>
      </c>
      <c r="D25" s="46" t="s">
        <v>77</v>
      </c>
    </row>
    <row r="26" spans="1:4" x14ac:dyDescent="0.25">
      <c r="A26" t="str">
        <f>IF(ROW() &lt;=  'Макет 017'!AK1,"//12320:0:"&amp;  CONCATENATE(YEAR(DATEVALUE("1."&amp;RIGHT(Ведомость!Q1,4))), TEXT(DATEVALUE(1&amp;LEFT(Ведомость!Q1,4)),"ММ"),"26"), "")</f>
        <v>//12320:0:20160426</v>
      </c>
      <c r="B26" s="46" t="s">
        <v>76</v>
      </c>
      <c r="C26" s="43">
        <f>IF(Ведомость!AA42="","",Ведомость!AA42*1000)</f>
        <v>78518</v>
      </c>
      <c r="D26" s="46" t="s">
        <v>77</v>
      </c>
    </row>
    <row r="27" spans="1:4" x14ac:dyDescent="0.25">
      <c r="A27" t="str">
        <f>IF(ROW() &lt;=  'Макет 017'!AK1,"//12320:0:"&amp;  CONCATENATE(YEAR(DATEVALUE("1."&amp;RIGHT(Ведомость!Q1,4))), TEXT(DATEVALUE(1&amp;LEFT(Ведомость!Q1,4)),"ММ"),"27"), "")</f>
        <v>//12320:0:20160427</v>
      </c>
      <c r="B27" s="46" t="s">
        <v>76</v>
      </c>
      <c r="C27" s="43">
        <f>IF(Ведомость!AB42="","",Ведомость!AB42*1000)</f>
        <v>81400</v>
      </c>
      <c r="D27" s="46" t="s">
        <v>77</v>
      </c>
    </row>
    <row r="28" spans="1:4" x14ac:dyDescent="0.25">
      <c r="A28" t="str">
        <f>IF(ROW() &lt;=  'Макет 017'!AK1,"//12320:0:"&amp;  CONCATENATE(YEAR(DATEVALUE("1."&amp;RIGHT(Ведомость!Q1,4))), TEXT(DATEVALUE(1&amp;LEFT(Ведомость!Q1,4)),"ММ"),"28"), "")</f>
        <v>//12320:0:20160428</v>
      </c>
      <c r="B28" s="46" t="str">
        <f>IF(ROW() &lt;=  'Макет 017'!AK1,":31:++","")</f>
        <v>:31:++</v>
      </c>
      <c r="C28" s="43">
        <f>IF(AND(ROW()&lt;= 'Макет 017'!AK1,Ведомость!AC42&lt;&gt;""),Ведомость!AC42*1000,"")</f>
        <v>81214</v>
      </c>
      <c r="D28" s="46" t="str">
        <f>IF(ROW() &lt;=  'Макет 017'!AK1,":0:==","")</f>
        <v>:0:==</v>
      </c>
    </row>
    <row r="29" spans="1:4" x14ac:dyDescent="0.25">
      <c r="A29" t="str">
        <f>IF(ROW() &lt;=  'Макет 017'!AK1,"//12320:0:"&amp;  CONCATENATE(YEAR(DATEVALUE("1."&amp;RIGHT(Ведомость!Q1,4))), TEXT(DATEVALUE(1&amp;LEFT(Ведомость!Q1,4)),"ММ"),"29"), "")</f>
        <v>//12320:0:20160429</v>
      </c>
      <c r="B29" s="46" t="str">
        <f>IF(ROW() &lt;=  'Макет 017'!AK1,":31:++","")</f>
        <v>:31:++</v>
      </c>
      <c r="C29" s="43">
        <f>IF(AND(ROW()&lt;= 'Макет 017'!AK1,Ведомость!AD42&lt;&gt;""),Ведомость!AD42*1000,"")</f>
        <v>86803</v>
      </c>
      <c r="D29" s="46" t="str">
        <f>IF(ROW() &lt;=  'Макет 017'!AK1,":0:==","")</f>
        <v>:0:==</v>
      </c>
    </row>
    <row r="30" spans="1:4" x14ac:dyDescent="0.25">
      <c r="A30" t="str">
        <f>IF(ROW() &lt;=  'Макет 017'!AK1,"//12320:0:"&amp;  CONCATENATE(YEAR(DATEVALUE("1."&amp;RIGHT(Ведомость!Q1,4))), TEXT(DATEVALUE(1&amp;LEFT(Ведомость!Q1,4)),"ММ"),"30"), "")</f>
        <v>//12320:0:20160430</v>
      </c>
      <c r="B30" s="46" t="str">
        <f>IF(ROW() &lt;=  'Макет 017'!AK1,":31:++","")</f>
        <v>:31:++</v>
      </c>
      <c r="C30" s="43">
        <f>IF(AND(ROW()&lt;= 'Макет 017'!AK1,Ведомость!AE42&lt;&gt;""),Ведомость!AE42*1000,"")</f>
        <v>90308</v>
      </c>
      <c r="D30" s="46" t="str">
        <f>IF(ROW() &lt;=  'Макет 017'!AK1,":0:==","")</f>
        <v>:0:==</v>
      </c>
    </row>
    <row r="31" spans="1:4" x14ac:dyDescent="0.25">
      <c r="A31" t="str">
        <f>IF(ROW() &lt;=  'Макет 017'!AK1,"//12320:0:"&amp;  CONCATENATE(YEAR(DATEVALUE("1."&amp;RIGHT(Ведомость!Q1,4))), TEXT(DATEVALUE(1&amp;LEFT(Ведомость!Q1,4)),"ММ"),"31"), "")</f>
        <v/>
      </c>
      <c r="B31" s="46" t="str">
        <f>IF(ROW() &lt;=  'Макет 017'!AK1,":31:++","")</f>
        <v/>
      </c>
      <c r="C31" s="43" t="str">
        <f>IF(AND(ROW()&lt;= 'Макет 017'!AK1,Ведомость!AF42&lt;&gt;""),Ведомость!AF42*1000,"")</f>
        <v/>
      </c>
      <c r="D31" s="46" t="str">
        <f>IF(ROW() &lt;=  'Макет 017'!AK1,":0:==","")</f>
        <v/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zoomScaleNormal="100" workbookViewId="0">
      <selection activeCell="AE2" sqref="AE2"/>
    </sheetView>
  </sheetViews>
  <sheetFormatPr defaultRowHeight="15" x14ac:dyDescent="0.25"/>
  <cols>
    <col min="1" max="31" width="14.85546875" customWidth="1"/>
    <col min="32" max="32" width="10" style="36" customWidth="1"/>
    <col min="33" max="41" width="9.140625" style="37" hidden="1" customWidth="1"/>
    <col min="42" max="42" width="3.42578125" style="37" hidden="1" customWidth="1"/>
  </cols>
  <sheetData>
    <row r="1" spans="1:39" x14ac:dyDescent="0.25">
      <c r="A1" s="41" t="str">
        <f>IF(COLUMN() &lt;=  'Макет 017'!AK1,"//30018","")</f>
        <v>//30018</v>
      </c>
      <c r="B1" s="41" t="str">
        <f>IF(COLUMN() &lt;=  'Макет 017'!AK1,"//30018","")</f>
        <v>//30018</v>
      </c>
      <c r="C1" s="41" t="str">
        <f>IF(COLUMN() &lt;=  'Макет 017'!AK1,"//30018","")</f>
        <v>//30018</v>
      </c>
      <c r="D1" s="41" t="str">
        <f>IF(COLUMN() &lt;=  'Макет 017'!AK1,"//30018","")</f>
        <v>//30018</v>
      </c>
      <c r="E1" s="41" t="str">
        <f>IF(COLUMN() &lt;=  'Макет 017'!AK1,"//30018","")</f>
        <v>//30018</v>
      </c>
      <c r="F1" s="41" t="str">
        <f>IF(COLUMN() &lt;=  'Макет 017'!AK1,"//30018","")</f>
        <v>//30018</v>
      </c>
      <c r="G1" s="41" t="str">
        <f>IF(COLUMN() &lt;=  'Макет 017'!AK1,"//30018","")</f>
        <v>//30018</v>
      </c>
      <c r="H1" s="41" t="str">
        <f>IF(COLUMN() &lt;=  'Макет 017'!AK1,"//30018","")</f>
        <v>//30018</v>
      </c>
      <c r="I1" s="41" t="str">
        <f>IF(COLUMN() &lt;=  'Макет 017'!AK1,"//30018","")</f>
        <v>//30018</v>
      </c>
      <c r="J1" s="41" t="str">
        <f>IF(COLUMN() &lt;=  'Макет 017'!AK1,"//30018","")</f>
        <v>//30018</v>
      </c>
      <c r="K1" s="41" t="str">
        <f>IF(COLUMN() &lt;=  'Макет 017'!AK1,"//30018","")</f>
        <v>//30018</v>
      </c>
      <c r="L1" s="41" t="str">
        <f>IF(COLUMN() &lt;=  'Макет 017'!AK1,"//30018","")</f>
        <v>//30018</v>
      </c>
      <c r="M1" s="41" t="str">
        <f>IF(COLUMN() &lt;=  'Макет 017'!AK1,"//30018","")</f>
        <v>//30018</v>
      </c>
      <c r="N1" s="41" t="str">
        <f>IF(COLUMN() &lt;=  'Макет 017'!AK1,"//30018","")</f>
        <v>//30018</v>
      </c>
      <c r="O1" s="41" t="str">
        <f>IF(COLUMN() &lt;=  'Макет 017'!AK1,"//30018","")</f>
        <v>//30018</v>
      </c>
      <c r="P1" s="41" t="str">
        <f>IF(COLUMN() &lt;=  'Макет 017'!AK1,"//30018","")</f>
        <v>//30018</v>
      </c>
      <c r="Q1" s="41" t="str">
        <f>IF(COLUMN() &lt;=  'Макет 017'!AK1,"//30018","")</f>
        <v>//30018</v>
      </c>
      <c r="R1" s="41" t="str">
        <f>IF(COLUMN() &lt;=  'Макет 017'!AK1,"//30018","")</f>
        <v>//30018</v>
      </c>
      <c r="S1" s="41" t="str">
        <f>IF(COLUMN() &lt;=  'Макет 017'!AK1,"//30018","")</f>
        <v>//30018</v>
      </c>
      <c r="T1" s="41" t="str">
        <f>IF(COLUMN() &lt;=  'Макет 017'!AK1,"//30018","")</f>
        <v>//30018</v>
      </c>
      <c r="U1" s="41" t="str">
        <f>IF(COLUMN() &lt;=  'Макет 017'!AK1,"//30018","")</f>
        <v>//30018</v>
      </c>
      <c r="V1" s="41" t="str">
        <f>IF(COLUMN() &lt;=  'Макет 017'!AK1,"//30018","")</f>
        <v>//30018</v>
      </c>
      <c r="W1" s="41" t="str">
        <f>IF(COLUMN() &lt;=  'Макет 017'!AK1,"//30018","")</f>
        <v>//30018</v>
      </c>
      <c r="X1" s="41" t="str">
        <f>IF(COLUMN() &lt;=  'Макет 017'!AK1,"//30018","")</f>
        <v>//30018</v>
      </c>
      <c r="Y1" s="41" t="str">
        <f>IF(COLUMN() &lt;=  'Макет 017'!AK1,"//30018","")</f>
        <v>//30018</v>
      </c>
      <c r="Z1" s="41" t="str">
        <f>IF(COLUMN() &lt;=  'Макет 017'!AK1,"//30018","")</f>
        <v>//30018</v>
      </c>
      <c r="AA1" s="41" t="str">
        <f>IF(COLUMN() &lt;=  'Макет 017'!AK1,"//30018","")</f>
        <v>//30018</v>
      </c>
      <c r="AB1" s="41" t="str">
        <f>IF(COLUMN() &lt;=  'Макет 017'!AK1,"//30018","")</f>
        <v>//30018</v>
      </c>
      <c r="AC1" s="41" t="str">
        <f>IF(COLUMN() &lt;=  'Макет 017'!AK1,"//30018","")</f>
        <v>//30018</v>
      </c>
      <c r="AD1" s="41" t="str">
        <f>IF(COLUMN() &lt;=  'Макет 017'!AK1,"//30018","")</f>
        <v>//30018</v>
      </c>
      <c r="AE1" s="41" t="str">
        <f>IF(COLUMN() &lt;=  'Макет 017'!AK1,"//30018","")</f>
        <v/>
      </c>
      <c r="AG1" s="36">
        <v>27.155567090578799</v>
      </c>
      <c r="AH1" s="36">
        <v>102.34</v>
      </c>
      <c r="AI1" s="36">
        <v>103.26</v>
      </c>
      <c r="AJ1" s="37">
        <v>988</v>
      </c>
      <c r="AK1" s="37">
        <v>1811</v>
      </c>
      <c r="AM1" s="37">
        <v>8760</v>
      </c>
    </row>
    <row r="2" spans="1:39" x14ac:dyDescent="0.25">
      <c r="A2" s="41" t="str">
        <f>IF(COLUMN() &lt;=  'Макет 017'!AK1,":"&amp; CONCATENATE(TEXT(DATEVALUE("1.1."&amp;RIGHT(Ведомость!Q1,4)),"ГГ"), TEXT(DATEVALUE(1&amp;LEFT(Ведомость!Q1,4)),"ММ"),"01"),"")</f>
        <v>:160401</v>
      </c>
      <c r="B2" s="41" t="str">
        <f>IF(COLUMN() &lt;=  'Макет 017'!AK1,":"&amp; CONCATENATE(TEXT(DATEVALUE("1.1."&amp;RIGHT(Ведомость!Q1,4)),"ГГ"), TEXT(DATEVALUE(1&amp;LEFT(Ведомость!Q1,4)),"ММ"),"02"),"")</f>
        <v>:160402</v>
      </c>
      <c r="C2" s="41" t="str">
        <f>IF(COLUMN() &lt;=  'Макет 017'!AK1,":"&amp; CONCATENATE(TEXT(DATEVALUE("1.1."&amp;RIGHT(Ведомость!Q1,4)),"ГГ"), TEXT(DATEVALUE(1&amp;LEFT(Ведомость!Q1,4)),"ММ"),"03"),"")</f>
        <v>:160403</v>
      </c>
      <c r="D2" s="41" t="str">
        <f>IF(COLUMN() &lt;=  'Макет 017'!AK1,":"&amp; CONCATENATE(TEXT(DATEVALUE("1.1."&amp;RIGHT(Ведомость!Q1,4)),"ГГ"), TEXT(DATEVALUE(1&amp;LEFT(Ведомость!Q1,4)),"ММ"),"04"),"")</f>
        <v>:160404</v>
      </c>
      <c r="E2" s="41" t="str">
        <f>IF(COLUMN() &lt;=  'Макет 017'!AK1,":"&amp; CONCATENATE(TEXT(DATEVALUE("1.1."&amp;RIGHT(Ведомость!Q1,4)),"ГГ"), TEXT(DATEVALUE(1&amp;LEFT(Ведомость!Q1,4)),"ММ"),"05"),"")</f>
        <v>:160405</v>
      </c>
      <c r="F2" s="41" t="str">
        <f>IF(COLUMN() &lt;=  'Макет 017'!AK1,":"&amp; CONCATENATE(TEXT(DATEVALUE("1.1."&amp;RIGHT(Ведомость!Q1,4)),"ГГ"), TEXT(DATEVALUE(1&amp;LEFT(Ведомость!Q1,4)),"ММ"),"06"),"")</f>
        <v>:160406</v>
      </c>
      <c r="G2" s="41" t="str">
        <f>IF(COLUMN() &lt;=  'Макет 017'!AK1,":"&amp; CONCATENATE(TEXT(DATEVALUE("1.1."&amp;RIGHT(Ведомость!Q1,4)),"ГГ"), TEXT(DATEVALUE(1&amp;LEFT(Ведомость!Q1,4)),"ММ"),"07"),"")</f>
        <v>:160407</v>
      </c>
      <c r="H2" s="41" t="str">
        <f>IF(COLUMN() &lt;=  'Макет 017'!AK1,":"&amp; CONCATENATE(TEXT(DATEVALUE("1.1."&amp;RIGHT(Ведомость!Q1,4)),"ГГ"), TEXT(DATEVALUE(1&amp;LEFT(Ведомость!Q1,4)),"ММ"),"08"),"")</f>
        <v>:160408</v>
      </c>
      <c r="I2" s="41" t="str">
        <f>IF(COLUMN() &lt;=  'Макет 017'!AK1,":"&amp; CONCATENATE(TEXT(DATEVALUE("1.1."&amp;RIGHT(Ведомость!Q1,4)),"ГГ"), TEXT(DATEVALUE(1&amp;LEFT(Ведомость!Q1,4)),"ММ"),"09"),"")</f>
        <v>:160409</v>
      </c>
      <c r="J2" s="41" t="str">
        <f>IF(COLUMN() &lt;=  'Макет 017'!AK1,":"&amp; CONCATENATE(TEXT(DATEVALUE("1.1."&amp;RIGHT(Ведомость!Q1,4)),"ГГ"), TEXT(DATEVALUE(1&amp;LEFT(Ведомость!Q1,4)),"ММ"),"10"),"")</f>
        <v>:160410</v>
      </c>
      <c r="K2" s="41" t="str">
        <f>IF(COLUMN() &lt;=  'Макет 017'!AK1,":"&amp; CONCATENATE(TEXT(DATEVALUE("1.1."&amp;RIGHT(Ведомость!Q1,4)),"ГГ"), TEXT(DATEVALUE(1&amp;LEFT(Ведомость!Q1,4)),"ММ"),"11"),"")</f>
        <v>:160411</v>
      </c>
      <c r="L2" s="41" t="str">
        <f>IF(COLUMN() &lt;=  'Макет 017'!AK1,":"&amp; CONCATENATE(TEXT(DATEVALUE("1.1."&amp;RIGHT(Ведомость!Q1,4)),"ГГ"), TEXT(DATEVALUE(1&amp;LEFT(Ведомость!Q1,4)),"ММ"),"12"),"")</f>
        <v>:160412</v>
      </c>
      <c r="M2" s="41" t="str">
        <f>IF(COLUMN() &lt;=  'Макет 017'!AK1,":"&amp; CONCATENATE(TEXT(DATEVALUE("1.1."&amp;RIGHT(Ведомость!Q1,4)),"ГГ"), TEXT(DATEVALUE(1&amp;LEFT(Ведомость!Q1,4)),"ММ"),"13"),"")</f>
        <v>:160413</v>
      </c>
      <c r="N2" s="41" t="str">
        <f>IF(COLUMN() &lt;=  'Макет 017'!AK1,":"&amp; CONCATENATE(TEXT(DATEVALUE("1.1."&amp;RIGHT(Ведомость!Q1,4)),"ГГ"), TEXT(DATEVALUE(1&amp;LEFT(Ведомость!Q1,4)),"ММ"),"14"),"")</f>
        <v>:160414</v>
      </c>
      <c r="O2" s="41" t="str">
        <f>IF(COLUMN() &lt;=  'Макет 017'!AK1,":"&amp; CONCATENATE(TEXT(DATEVALUE("1.1."&amp;RIGHT(Ведомость!Q1,4)),"ГГ"), TEXT(DATEVALUE(1&amp;LEFT(Ведомость!Q1,4)),"ММ"),"15"),"")</f>
        <v>:160415</v>
      </c>
      <c r="P2" s="41" t="str">
        <f>IF(COLUMN() &lt;=  'Макет 017'!AK1,":"&amp; CONCATENATE(TEXT(DATEVALUE("1.1."&amp;RIGHT(Ведомость!Q1,4)),"ГГ"), TEXT(DATEVALUE(1&amp;LEFT(Ведомость!Q1,4)),"ММ"),"16"),"")</f>
        <v>:160416</v>
      </c>
      <c r="Q2" s="41" t="str">
        <f>IF(COLUMN() &lt;=  'Макет 017'!AK1,":"&amp; CONCATENATE(TEXT(DATEVALUE("1.1."&amp;RIGHT(Ведомость!Q1,4)),"ГГ"), TEXT(DATEVALUE(1&amp;LEFT(Ведомость!Q1,4)),"ММ"),"17"),"")</f>
        <v>:160417</v>
      </c>
      <c r="R2" s="41" t="str">
        <f>IF(COLUMN() &lt;=  'Макет 017'!AK1,":"&amp; CONCATENATE(TEXT(DATEVALUE("1.1."&amp;RIGHT(Ведомость!Q1,4)),"ГГ"), TEXT(DATEVALUE(1&amp;LEFT(Ведомость!Q1,4)),"ММ"),"18"),"")</f>
        <v>:160418</v>
      </c>
      <c r="S2" s="41" t="str">
        <f>IF(COLUMN() &lt;=  'Макет 017'!AK1,":"&amp; CONCATENATE(TEXT(DATEVALUE("1.1."&amp;RIGHT(Ведомость!Q1,4)),"ГГ"), TEXT(DATEVALUE(1&amp;LEFT(Ведомость!Q1,4)),"ММ"),"19"),"")</f>
        <v>:160419</v>
      </c>
      <c r="T2" s="41" t="str">
        <f>IF(COLUMN() &lt;=  'Макет 017'!AK1,":"&amp; CONCATENATE(TEXT(DATEVALUE("1.1."&amp;RIGHT(Ведомость!Q1,4)),"ГГ"), TEXT(DATEVALUE(1&amp;LEFT(Ведомость!Q1,4)),"ММ"),"20"),"")</f>
        <v>:160420</v>
      </c>
      <c r="U2" s="41" t="str">
        <f>IF(COLUMN() &lt;=  'Макет 017'!AK1,":"&amp; CONCATENATE(TEXT(DATEVALUE("1.1."&amp;RIGHT(Ведомость!Q1,4)),"ГГ"), TEXT(DATEVALUE(1&amp;LEFT(Ведомость!Q1,4)),"ММ"),"21"),"")</f>
        <v>:160421</v>
      </c>
      <c r="V2" s="41" t="str">
        <f>IF(COLUMN() &lt;=  'Макет 017'!AK1,":"&amp; CONCATENATE(TEXT(DATEVALUE("1.1."&amp;RIGHT(Ведомость!Q1,4)),"ГГ"), TEXT(DATEVALUE(1&amp;LEFT(Ведомость!Q1,4)),"ММ"),"22"),"")</f>
        <v>:160422</v>
      </c>
      <c r="W2" s="41" t="str">
        <f>IF(COLUMN() &lt;=  'Макет 017'!AK1,":"&amp; CONCATENATE(TEXT(DATEVALUE("1.1."&amp;RIGHT(Ведомость!Q1,4)),"ГГ"), TEXT(DATEVALUE(1&amp;LEFT(Ведомость!Q1,4)),"ММ"),"23"),"")</f>
        <v>:160423</v>
      </c>
      <c r="X2" s="41" t="str">
        <f>IF(COLUMN() &lt;=  'Макет 017'!AK1,":"&amp; CONCATENATE(TEXT(DATEVALUE("1.1."&amp;RIGHT(Ведомость!Q1,4)),"ГГ"), TEXT(DATEVALUE(1&amp;LEFT(Ведомость!Q1,4)),"ММ"),"24"),"")</f>
        <v>:160424</v>
      </c>
      <c r="Y2" s="41" t="str">
        <f>IF(COLUMN() &lt;=  'Макет 017'!AK1,":"&amp; CONCATENATE(TEXT(DATEVALUE("1.1."&amp;RIGHT(Ведомость!Q1,4)),"ГГ"), TEXT(DATEVALUE(1&amp;LEFT(Ведомость!Q1,4)),"ММ"),"25"),"")</f>
        <v>:160425</v>
      </c>
      <c r="Z2" s="41" t="str">
        <f>IF(COLUMN() &lt;=  'Макет 017'!AK1,":"&amp; CONCATENATE(TEXT(DATEVALUE("1.1."&amp;RIGHT(Ведомость!Q1,4)),"ГГ"), TEXT(DATEVALUE(1&amp;LEFT(Ведомость!Q1,4)),"ММ"),"26"),"")</f>
        <v>:160426</v>
      </c>
      <c r="AA2" s="41" t="str">
        <f>IF(COLUMN() &lt;=  'Макет 017'!AK1,":"&amp; CONCATENATE(TEXT(DATEVALUE("1.1."&amp;RIGHT(Ведомость!Q1,4)),"ГГ"), TEXT(DATEVALUE(1&amp;LEFT(Ведомость!Q1,4)),"ММ"),"27"),"")</f>
        <v>:160427</v>
      </c>
      <c r="AB2" s="41" t="str">
        <f>IF(COLUMN() &lt;=  'Макет 017'!AK1,":"&amp; CONCATENATE(TEXT(DATEVALUE("1.1."&amp;RIGHT(Ведомость!Q1,4)),"ГГ"), TEXT(DATEVALUE(1&amp;LEFT(Ведомость!Q1,4)),"ММ"),"28"),"")</f>
        <v>:160428</v>
      </c>
      <c r="AC2" s="41" t="str">
        <f>IF(COLUMN() &lt;=  'Макет 017'!AK1,":"&amp; CONCATENATE(TEXT(DATEVALUE("1.1."&amp;RIGHT(Ведомость!Q1,4)),"ГГ"), TEXT(DATEVALUE(1&amp;LEFT(Ведомость!Q1,4)),"ММ"),"29"),"")</f>
        <v>:160429</v>
      </c>
      <c r="AD2" s="41" t="str">
        <f>IF(COLUMN() &lt;=  'Макет 017'!AK1,":"&amp; CONCATENATE(TEXT(DATEVALUE("1.1."&amp;RIGHT(Ведомость!Q1,4)),"ГГ"), TEXT(DATEVALUE(1&amp;LEFT(Ведомость!Q1,4)),"ММ"),"30"),"")</f>
        <v>:160430</v>
      </c>
      <c r="AE2" s="41" t="str">
        <f>IF(COLUMN() &lt;=  'Макет 017'!AK1,":"&amp; CONCATENATE(TEXT(DATEVALUE("1.1."&amp;RIGHT(Ведомость!Q1,4)),"ГГ"), TEXT(DATEVALUE(1&amp;LEFT(Ведомость!Q1,4)),"ММ"),"31"),"")</f>
        <v/>
      </c>
      <c r="AG2" s="36">
        <v>27.5082188229194</v>
      </c>
      <c r="AH2" s="36">
        <v>102.25</v>
      </c>
      <c r="AI2" s="37" t="s">
        <v>13</v>
      </c>
      <c r="AJ2" s="37">
        <v>914</v>
      </c>
      <c r="AK2" s="37" t="s">
        <v>13</v>
      </c>
      <c r="AM2" s="36">
        <v>9061.2999999999993</v>
      </c>
    </row>
    <row r="3" spans="1:39" x14ac:dyDescent="0.25">
      <c r="A3" s="41" t="str">
        <f>IF(COLUMN() &lt;=  'Макет 017'!AK1,":338731","")</f>
        <v>:338731</v>
      </c>
      <c r="B3" s="41" t="str">
        <f>IF(COLUMN() &lt;=  'Макет 017'!AK1,":338731","")</f>
        <v>:338731</v>
      </c>
      <c r="C3" s="41" t="str">
        <f>IF(COLUMN() &lt;=  'Макет 017'!AK1,":338731","")</f>
        <v>:338731</v>
      </c>
      <c r="D3" s="41" t="str">
        <f>IF(COLUMN() &lt;=  'Макет 017'!AK1,":338731","")</f>
        <v>:338731</v>
      </c>
      <c r="E3" s="41" t="str">
        <f>IF(COLUMN() &lt;=  'Макет 017'!AK1,":338731","")</f>
        <v>:338731</v>
      </c>
      <c r="F3" s="41" t="str">
        <f>IF(COLUMN() &lt;=  'Макет 017'!AK1,":338731","")</f>
        <v>:338731</v>
      </c>
      <c r="G3" s="41" t="str">
        <f>IF(COLUMN() &lt;=  'Макет 017'!AK1,":338731","")</f>
        <v>:338731</v>
      </c>
      <c r="H3" s="41" t="str">
        <f>IF(COLUMN() &lt;=  'Макет 017'!AK1,":338731","")</f>
        <v>:338731</v>
      </c>
      <c r="I3" s="41" t="str">
        <f>IF(COLUMN() &lt;=  'Макет 017'!AK1,":338731","")</f>
        <v>:338731</v>
      </c>
      <c r="J3" s="41" t="str">
        <f>IF(COLUMN() &lt;=  'Макет 017'!AK1,":338731","")</f>
        <v>:338731</v>
      </c>
      <c r="K3" s="41" t="str">
        <f>IF(COLUMN() &lt;=  'Макет 017'!AK1,":338731","")</f>
        <v>:338731</v>
      </c>
      <c r="L3" s="41" t="str">
        <f>IF(COLUMN() &lt;=  'Макет 017'!AK1,":338731","")</f>
        <v>:338731</v>
      </c>
      <c r="M3" s="41" t="str">
        <f>IF(COLUMN() &lt;=  'Макет 017'!AK1,":338731","")</f>
        <v>:338731</v>
      </c>
      <c r="N3" s="41" t="str">
        <f>IF(COLUMN() &lt;=  'Макет 017'!AK1,":338731","")</f>
        <v>:338731</v>
      </c>
      <c r="O3" s="41" t="str">
        <f>IF(COLUMN() &lt;=  'Макет 017'!AK1,":338731","")</f>
        <v>:338731</v>
      </c>
      <c r="P3" s="41" t="str">
        <f>IF(COLUMN() &lt;=  'Макет 017'!AK1,":338731","")</f>
        <v>:338731</v>
      </c>
      <c r="Q3" s="41" t="str">
        <f>IF(COLUMN() &lt;=  'Макет 017'!AK1,":338731","")</f>
        <v>:338731</v>
      </c>
      <c r="R3" s="41" t="str">
        <f>IF(COLUMN() &lt;=  'Макет 017'!AK1,":338731","")</f>
        <v>:338731</v>
      </c>
      <c r="S3" s="41" t="str">
        <f>IF(COLUMN() &lt;=  'Макет 017'!AK1,":338731","")</f>
        <v>:338731</v>
      </c>
      <c r="T3" s="41" t="str">
        <f>IF(COLUMN() &lt;=  'Макет 017'!AK1,":338731","")</f>
        <v>:338731</v>
      </c>
      <c r="U3" s="41" t="str">
        <f>IF(COLUMN() &lt;=  'Макет 017'!AK1,":338731","")</f>
        <v>:338731</v>
      </c>
      <c r="V3" s="41" t="str">
        <f>IF(COLUMN() &lt;=  'Макет 017'!AK1,":338731","")</f>
        <v>:338731</v>
      </c>
      <c r="W3" s="41" t="str">
        <f>IF(COLUMN() &lt;=  'Макет 017'!AK1,":338731","")</f>
        <v>:338731</v>
      </c>
      <c r="X3" s="41" t="str">
        <f>IF(COLUMN() &lt;=  'Макет 017'!AK1,":338731","")</f>
        <v>:338731</v>
      </c>
      <c r="Y3" s="41" t="str">
        <f>IF(COLUMN() &lt;=  'Макет 017'!AK1,":338731","")</f>
        <v>:338731</v>
      </c>
      <c r="Z3" s="41" t="str">
        <f>IF(COLUMN() &lt;=  'Макет 017'!AK1,":338731","")</f>
        <v>:338731</v>
      </c>
      <c r="AA3" s="41" t="str">
        <f>IF(COLUMN() &lt;=  'Макет 017'!AK1,":338731","")</f>
        <v>:338731</v>
      </c>
      <c r="AB3" s="41" t="str">
        <f>IF(COLUMN() &lt;=  'Макет 017'!AK1,":338731","")</f>
        <v>:338731</v>
      </c>
      <c r="AC3" s="41" t="str">
        <f>IF(COLUMN() &lt;=  'Макет 017'!AK1,":338731","")</f>
        <v>:338731</v>
      </c>
      <c r="AD3" s="41" t="str">
        <f>IF(COLUMN() &lt;=  'Макет 017'!AK1,":338731","")</f>
        <v>:338731</v>
      </c>
      <c r="AE3" s="41" t="str">
        <f>IF(COLUMN() &lt;=  'Макет 017'!AK1,":338731","")</f>
        <v/>
      </c>
      <c r="AG3" s="36">
        <v>27.5774314884471</v>
      </c>
      <c r="AH3" s="36">
        <v>102.16</v>
      </c>
      <c r="AI3" s="37" t="s">
        <v>13</v>
      </c>
      <c r="AJ3" s="37">
        <v>841</v>
      </c>
      <c r="AK3" s="37" t="s">
        <v>13</v>
      </c>
      <c r="AM3" s="36">
        <v>9094.2352941176505</v>
      </c>
    </row>
    <row r="4" spans="1:39" x14ac:dyDescent="0.25">
      <c r="A4" s="41" t="str">
        <f>IF(COLUMN() &lt;=  'Макет 017'!AK1,":338731","")</f>
        <v>:338731</v>
      </c>
      <c r="B4" s="41" t="str">
        <f>IF(COLUMN() &lt;=  'Макет 017'!AK1,":338731","")</f>
        <v>:338731</v>
      </c>
      <c r="C4" s="41" t="str">
        <f>IF(COLUMN() &lt;=  'Макет 017'!AK1,":338731","")</f>
        <v>:338731</v>
      </c>
      <c r="D4" s="41" t="str">
        <f>IF(COLUMN() &lt;=  'Макет 017'!AK1,":338731","")</f>
        <v>:338731</v>
      </c>
      <c r="E4" s="41" t="str">
        <f>IF(COLUMN() &lt;=  'Макет 017'!AK1,":338731","")</f>
        <v>:338731</v>
      </c>
      <c r="F4" s="41" t="str">
        <f>IF(COLUMN() &lt;=  'Макет 017'!AK1,":338731","")</f>
        <v>:338731</v>
      </c>
      <c r="G4" s="41" t="str">
        <f>IF(COLUMN() &lt;=  'Макет 017'!AK1,":338731","")</f>
        <v>:338731</v>
      </c>
      <c r="H4" s="41" t="str">
        <f>IF(COLUMN() &lt;=  'Макет 017'!AK1,":338731","")</f>
        <v>:338731</v>
      </c>
      <c r="I4" s="41" t="str">
        <f>IF(COLUMN() &lt;=  'Макет 017'!AK1,":338731","")</f>
        <v>:338731</v>
      </c>
      <c r="J4" s="41" t="str">
        <f>IF(COLUMN() &lt;=  'Макет 017'!AK1,":338731","")</f>
        <v>:338731</v>
      </c>
      <c r="K4" s="41" t="str">
        <f>IF(COLUMN() &lt;=  'Макет 017'!AK1,":338731","")</f>
        <v>:338731</v>
      </c>
      <c r="L4" s="41" t="str">
        <f>IF(COLUMN() &lt;=  'Макет 017'!AK1,":338731","")</f>
        <v>:338731</v>
      </c>
      <c r="M4" s="41" t="str">
        <f>IF(COLUMN() &lt;=  'Макет 017'!AK1,":338731","")</f>
        <v>:338731</v>
      </c>
      <c r="N4" s="41" t="str">
        <f>IF(COLUMN() &lt;=  'Макет 017'!AK1,":338731","")</f>
        <v>:338731</v>
      </c>
      <c r="O4" s="41" t="str">
        <f>IF(COLUMN() &lt;=  'Макет 017'!AK1,":338731","")</f>
        <v>:338731</v>
      </c>
      <c r="P4" s="41" t="str">
        <f>IF(COLUMN() &lt;=  'Макет 017'!AK1,":338731","")</f>
        <v>:338731</v>
      </c>
      <c r="Q4" s="41" t="str">
        <f>IF(COLUMN() &lt;=  'Макет 017'!AK1,":338731","")</f>
        <v>:338731</v>
      </c>
      <c r="R4" s="41" t="str">
        <f>IF(COLUMN() &lt;=  'Макет 017'!AK1,":338731","")</f>
        <v>:338731</v>
      </c>
      <c r="S4" s="41" t="str">
        <f>IF(COLUMN() &lt;=  'Макет 017'!AK1,":338731","")</f>
        <v>:338731</v>
      </c>
      <c r="T4" s="41" t="str">
        <f>IF(COLUMN() &lt;=  'Макет 017'!AK1,":338731","")</f>
        <v>:338731</v>
      </c>
      <c r="U4" s="41" t="str">
        <f>IF(COLUMN() &lt;=  'Макет 017'!AK1,":338731","")</f>
        <v>:338731</v>
      </c>
      <c r="V4" s="41" t="str">
        <f>IF(COLUMN() &lt;=  'Макет 017'!AK1,":338731","")</f>
        <v>:338731</v>
      </c>
      <c r="W4" s="41" t="str">
        <f>IF(COLUMN() &lt;=  'Макет 017'!AK1,":338731","")</f>
        <v>:338731</v>
      </c>
      <c r="X4" s="41" t="str">
        <f>IF(COLUMN() &lt;=  'Макет 017'!AK1,":338731","")</f>
        <v>:338731</v>
      </c>
      <c r="Y4" s="41" t="str">
        <f>IF(COLUMN() &lt;=  'Макет 017'!AK1,":338731","")</f>
        <v>:338731</v>
      </c>
      <c r="Z4" s="41" t="str">
        <f>IF(COLUMN() &lt;=  'Макет 017'!AK1,":338731","")</f>
        <v>:338731</v>
      </c>
      <c r="AA4" s="41" t="str">
        <f>IF(COLUMN() &lt;=  'Макет 017'!AK1,":338731","")</f>
        <v>:338731</v>
      </c>
      <c r="AB4" s="41" t="str">
        <f>IF(COLUMN() &lt;=  'Макет 017'!AK1,":338731","")</f>
        <v>:338731</v>
      </c>
      <c r="AC4" s="41" t="str">
        <f>IF(COLUMN() &lt;=  'Макет 017'!AK1,":338731","")</f>
        <v>:338731</v>
      </c>
      <c r="AD4" s="41" t="str">
        <f>IF(COLUMN() &lt;=  'Макет 017'!AK1,":338731","")</f>
        <v>:338731</v>
      </c>
      <c r="AE4" s="41" t="str">
        <f>IF(COLUMN() &lt;=  'Макет 017'!AK1,":338731","")</f>
        <v/>
      </c>
      <c r="AG4" s="36">
        <v>27.529981177736001</v>
      </c>
      <c r="AH4" s="36">
        <v>102.07</v>
      </c>
      <c r="AJ4" s="37">
        <v>769</v>
      </c>
    </row>
    <row r="5" spans="1:39" x14ac:dyDescent="0.25">
      <c r="A5" s="41" t="str">
        <f>IF(COLUMN() &lt;=  'Макет 017'!AK1,":338731","")</f>
        <v>:338731</v>
      </c>
      <c r="B5" s="41" t="str">
        <f>IF(COLUMN() &lt;=  'Макет 017'!AK1,":338731","")</f>
        <v>:338731</v>
      </c>
      <c r="C5" s="41" t="str">
        <f>IF(COLUMN() &lt;=  'Макет 017'!AK1,":338731","")</f>
        <v>:338731</v>
      </c>
      <c r="D5" s="41" t="str">
        <f>IF(COLUMN() &lt;=  'Макет 017'!AK1,":338731","")</f>
        <v>:338731</v>
      </c>
      <c r="E5" s="41" t="str">
        <f>IF(COLUMN() &lt;=  'Макет 017'!AK1,":338731","")</f>
        <v>:338731</v>
      </c>
      <c r="F5" s="41" t="str">
        <f>IF(COLUMN() &lt;=  'Макет 017'!AK1,":338731","")</f>
        <v>:338731</v>
      </c>
      <c r="G5" s="41" t="str">
        <f>IF(COLUMN() &lt;=  'Макет 017'!AK1,":338731","")</f>
        <v>:338731</v>
      </c>
      <c r="H5" s="41" t="str">
        <f>IF(COLUMN() &lt;=  'Макет 017'!AK1,":338731","")</f>
        <v>:338731</v>
      </c>
      <c r="I5" s="41" t="str">
        <f>IF(COLUMN() &lt;=  'Макет 017'!AK1,":338731","")</f>
        <v>:338731</v>
      </c>
      <c r="J5" s="41" t="str">
        <f>IF(COLUMN() &lt;=  'Макет 017'!AK1,":338731","")</f>
        <v>:338731</v>
      </c>
      <c r="K5" s="41" t="str">
        <f>IF(COLUMN() &lt;=  'Макет 017'!AK1,":338731","")</f>
        <v>:338731</v>
      </c>
      <c r="L5" s="41" t="str">
        <f>IF(COLUMN() &lt;=  'Макет 017'!AK1,":338731","")</f>
        <v>:338731</v>
      </c>
      <c r="M5" s="41" t="str">
        <f>IF(COLUMN() &lt;=  'Макет 017'!AK1,":338731","")</f>
        <v>:338731</v>
      </c>
      <c r="N5" s="41" t="str">
        <f>IF(COLUMN() &lt;=  'Макет 017'!AK1,":338731","")</f>
        <v>:338731</v>
      </c>
      <c r="O5" s="41" t="str">
        <f>IF(COLUMN() &lt;=  'Макет 017'!AK1,":338731","")</f>
        <v>:338731</v>
      </c>
      <c r="P5" s="41" t="str">
        <f>IF(COLUMN() &lt;=  'Макет 017'!AK1,":338731","")</f>
        <v>:338731</v>
      </c>
      <c r="Q5" s="41" t="str">
        <f>IF(COLUMN() &lt;=  'Макет 017'!AK1,":338731","")</f>
        <v>:338731</v>
      </c>
      <c r="R5" s="41" t="str">
        <f>IF(COLUMN() &lt;=  'Макет 017'!AK1,":338731","")</f>
        <v>:338731</v>
      </c>
      <c r="S5" s="41" t="str">
        <f>IF(COLUMN() &lt;=  'Макет 017'!AK1,":338731","")</f>
        <v>:338731</v>
      </c>
      <c r="T5" s="41" t="str">
        <f>IF(COLUMN() &lt;=  'Макет 017'!AK1,":338731","")</f>
        <v>:338731</v>
      </c>
      <c r="U5" s="41" t="str">
        <f>IF(COLUMN() &lt;=  'Макет 017'!AK1,":338731","")</f>
        <v>:338731</v>
      </c>
      <c r="V5" s="41" t="str">
        <f>IF(COLUMN() &lt;=  'Макет 017'!AK1,":338731","")</f>
        <v>:338731</v>
      </c>
      <c r="W5" s="41" t="str">
        <f>IF(COLUMN() &lt;=  'Макет 017'!AK1,":338731","")</f>
        <v>:338731</v>
      </c>
      <c r="X5" s="41" t="str">
        <f>IF(COLUMN() &lt;=  'Макет 017'!AK1,":338731","")</f>
        <v>:338731</v>
      </c>
      <c r="Y5" s="41" t="str">
        <f>IF(COLUMN() &lt;=  'Макет 017'!AK1,":338731","")</f>
        <v>:338731</v>
      </c>
      <c r="Z5" s="41" t="str">
        <f>IF(COLUMN() &lt;=  'Макет 017'!AK1,":338731","")</f>
        <v>:338731</v>
      </c>
      <c r="AA5" s="41" t="str">
        <f>IF(COLUMN() &lt;=  'Макет 017'!AK1,":338731","")</f>
        <v>:338731</v>
      </c>
      <c r="AB5" s="41" t="str">
        <f>IF(COLUMN() &lt;=  'Макет 017'!AK1,":338731","")</f>
        <v>:338731</v>
      </c>
      <c r="AC5" s="41" t="str">
        <f>IF(COLUMN() &lt;=  'Макет 017'!AK1,":338731","")</f>
        <v>:338731</v>
      </c>
      <c r="AD5" s="41" t="str">
        <f>IF(COLUMN() &lt;=  'Макет 017'!AK1,":338731","")</f>
        <v>:338731</v>
      </c>
      <c r="AE5" s="41" t="str">
        <f>IF(COLUMN() &lt;=  'Макет 017'!AK1,":338731","")</f>
        <v/>
      </c>
      <c r="AG5" s="36">
        <v>27.607100591716002</v>
      </c>
      <c r="AH5" s="36">
        <v>101.98</v>
      </c>
      <c r="AJ5" s="37">
        <v>698</v>
      </c>
    </row>
    <row r="6" spans="1:39" x14ac:dyDescent="0.25">
      <c r="A6" s="41" t="str">
        <f>IF(COLUMN() &lt;=  'Макет 017'!AK1,":++","")</f>
        <v>:++</v>
      </c>
      <c r="B6" s="41" t="str">
        <f>IF(COLUMN() &lt;=  'Макет 017'!AK1,":++","")</f>
        <v>:++</v>
      </c>
      <c r="C6" s="41" t="str">
        <f>IF(COLUMN() &lt;=  'Макет 017'!AK1,":++","")</f>
        <v>:++</v>
      </c>
      <c r="D6" s="41" t="str">
        <f>IF(COLUMN() &lt;=  'Макет 017'!AK1,":++","")</f>
        <v>:++</v>
      </c>
      <c r="E6" s="41" t="str">
        <f>IF(COLUMN() &lt;=  'Макет 017'!AK1,":++","")</f>
        <v>:++</v>
      </c>
      <c r="F6" s="41" t="str">
        <f>IF(COLUMN() &lt;=  'Макет 017'!AK1,":++","")</f>
        <v>:++</v>
      </c>
      <c r="G6" s="41" t="str">
        <f>IF(COLUMN() &lt;=  'Макет 017'!AK1,":++","")</f>
        <v>:++</v>
      </c>
      <c r="H6" s="41" t="str">
        <f>IF(COLUMN() &lt;=  'Макет 017'!AK1,":++","")</f>
        <v>:++</v>
      </c>
      <c r="I6" s="41" t="str">
        <f>IF(COLUMN() &lt;=  'Макет 017'!AK1,":++","")</f>
        <v>:++</v>
      </c>
      <c r="J6" s="41" t="str">
        <f>IF(COLUMN() &lt;=  'Макет 017'!AK1,":++","")</f>
        <v>:++</v>
      </c>
      <c r="K6" s="41" t="str">
        <f>IF(COLUMN() &lt;=  'Макет 017'!AK1,":++","")</f>
        <v>:++</v>
      </c>
      <c r="L6" s="41" t="str">
        <f>IF(COLUMN() &lt;=  'Макет 017'!AK1,":++","")</f>
        <v>:++</v>
      </c>
      <c r="M6" s="41" t="str">
        <f>IF(COLUMN() &lt;=  'Макет 017'!AK1,":++","")</f>
        <v>:++</v>
      </c>
      <c r="N6" s="41" t="str">
        <f>IF(COLUMN() &lt;=  'Макет 017'!AK1,":++","")</f>
        <v>:++</v>
      </c>
      <c r="O6" s="41" t="str">
        <f>IF(COLUMN() &lt;=  'Макет 017'!AK1,":++","")</f>
        <v>:++</v>
      </c>
      <c r="P6" s="41" t="str">
        <f>IF(COLUMN() &lt;=  'Макет 017'!AK1,":++","")</f>
        <v>:++</v>
      </c>
      <c r="Q6" s="41" t="str">
        <f>IF(COLUMN() &lt;=  'Макет 017'!AK1,":++","")</f>
        <v>:++</v>
      </c>
      <c r="R6" s="41" t="str">
        <f>IF(COLUMN() &lt;=  'Макет 017'!AK1,":++","")</f>
        <v>:++</v>
      </c>
      <c r="S6" s="41" t="str">
        <f>IF(COLUMN() &lt;=  'Макет 017'!AK1,":++","")</f>
        <v>:++</v>
      </c>
      <c r="T6" s="41" t="str">
        <f>IF(COLUMN() &lt;=  'Макет 017'!AK1,":++","")</f>
        <v>:++</v>
      </c>
      <c r="U6" s="41" t="str">
        <f>IF(COLUMN() &lt;=  'Макет 017'!AK1,":++","")</f>
        <v>:++</v>
      </c>
      <c r="V6" s="41" t="str">
        <f>IF(COLUMN() &lt;=  'Макет 017'!AK1,":++","")</f>
        <v>:++</v>
      </c>
      <c r="W6" s="41" t="str">
        <f>IF(COLUMN() &lt;=  'Макет 017'!AK1,":++","")</f>
        <v>:++</v>
      </c>
      <c r="X6" s="41" t="str">
        <f>IF(COLUMN() &lt;=  'Макет 017'!AK1,":++","")</f>
        <v>:++</v>
      </c>
      <c r="Y6" s="41" t="str">
        <f>IF(COLUMN() &lt;=  'Макет 017'!AK1,":++","")</f>
        <v>:++</v>
      </c>
      <c r="Z6" s="41" t="str">
        <f>IF(COLUMN() &lt;=  'Макет 017'!AK1,":++","")</f>
        <v>:++</v>
      </c>
      <c r="AA6" s="41" t="str">
        <f>IF(COLUMN() &lt;=  'Макет 017'!AK1,":++","")</f>
        <v>:++</v>
      </c>
      <c r="AB6" s="41" t="str">
        <f>IF(COLUMN() &lt;=  'Макет 017'!AK1,":++","")</f>
        <v>:++</v>
      </c>
      <c r="AC6" s="41" t="str">
        <f>IF(COLUMN() &lt;=  'Макет 017'!AK1,":++","")</f>
        <v>:++</v>
      </c>
      <c r="AD6" s="41" t="str">
        <f>IF(COLUMN() &lt;=  'Макет 017'!AK1,":++","")</f>
        <v>:++</v>
      </c>
      <c r="AE6" s="41" t="str">
        <f>IF(COLUMN() &lt;=  'Макет 017'!AK1,":++","")</f>
        <v/>
      </c>
      <c r="AG6" s="36">
        <v>27.785533745630499</v>
      </c>
      <c r="AH6" s="36">
        <v>101.9</v>
      </c>
      <c r="AJ6" s="37">
        <v>636</v>
      </c>
    </row>
    <row r="7" spans="1:39" x14ac:dyDescent="0.25">
      <c r="A7" s="41" t="str">
        <f>IF(COLUMN() &lt;=  'Макет 017'!AK1,"(1):0:201:","")</f>
        <v>(1):0:201:</v>
      </c>
      <c r="B7" s="41" t="str">
        <f>IF(COLUMN() &lt;=  'Макет 017'!AK1,"(1):0:201:","")</f>
        <v>(1):0:201:</v>
      </c>
      <c r="C7" s="41" t="str">
        <f>IF(COLUMN() &lt;=  'Макет 017'!AK1,"(1):0:201:","")</f>
        <v>(1):0:201:</v>
      </c>
      <c r="D7" s="41" t="str">
        <f>IF(COLUMN() &lt;=  'Макет 017'!AK1,"(1):0:201:","")</f>
        <v>(1):0:201:</v>
      </c>
      <c r="E7" s="41" t="str">
        <f>IF(COLUMN() &lt;=  'Макет 017'!AK1,"(1):0:201:","")</f>
        <v>(1):0:201:</v>
      </c>
      <c r="F7" s="41" t="str">
        <f>IF(COLUMN() &lt;=  'Макет 017'!AK1,"(1):0:201:","")</f>
        <v>(1):0:201:</v>
      </c>
      <c r="G7" s="41" t="str">
        <f>IF(COLUMN() &lt;=  'Макет 017'!AK1,"(1):0:201:","")</f>
        <v>(1):0:201:</v>
      </c>
      <c r="H7" s="41" t="str">
        <f>IF(COLUMN() &lt;=  'Макет 017'!AK1,"(1):0:201:","")</f>
        <v>(1):0:201:</v>
      </c>
      <c r="I7" s="41" t="str">
        <f>IF(COLUMN() &lt;=  'Макет 017'!AK1,"(1):0:201:","")</f>
        <v>(1):0:201:</v>
      </c>
      <c r="J7" s="41" t="str">
        <f>IF(COLUMN() &lt;=  'Макет 017'!AK1,"(1):0:201:","")</f>
        <v>(1):0:201:</v>
      </c>
      <c r="K7" s="41" t="str">
        <f>IF(COLUMN() &lt;=  'Макет 017'!AK1,"(1):0:201:","")</f>
        <v>(1):0:201:</v>
      </c>
      <c r="L7" s="41" t="str">
        <f>IF(COLUMN() &lt;=  'Макет 017'!AK1,"(1):0:201:","")</f>
        <v>(1):0:201:</v>
      </c>
      <c r="M7" s="41" t="str">
        <f>IF(COLUMN() &lt;=  'Макет 017'!AK1,"(1):0:201:","")</f>
        <v>(1):0:201:</v>
      </c>
      <c r="N7" s="41" t="str">
        <f>IF(COLUMN() &lt;=  'Макет 017'!AK1,"(1):0:201:","")</f>
        <v>(1):0:201:</v>
      </c>
      <c r="O7" s="41" t="str">
        <f>IF(COLUMN() &lt;=  'Макет 017'!AK1,"(1):0:201:","")</f>
        <v>(1):0:201:</v>
      </c>
      <c r="P7" s="41" t="str">
        <f>IF(COLUMN() &lt;=  'Макет 017'!AK1,"(1):0:201:","")</f>
        <v>(1):0:201:</v>
      </c>
      <c r="Q7" s="41" t="str">
        <f>IF(COLUMN() &lt;=  'Макет 017'!AK1,"(1):0:201:","")</f>
        <v>(1):0:201:</v>
      </c>
      <c r="R7" s="41" t="str">
        <f>IF(COLUMN() &lt;=  'Макет 017'!AK1,"(1):0:201:","")</f>
        <v>(1):0:201:</v>
      </c>
      <c r="S7" s="41" t="str">
        <f>IF(COLUMN() &lt;=  'Макет 017'!AK1,"(1):0:201:","")</f>
        <v>(1):0:201:</v>
      </c>
      <c r="T7" s="41" t="str">
        <f>IF(COLUMN() &lt;=  'Макет 017'!AK1,"(1):0:201:","")</f>
        <v>(1):0:201:</v>
      </c>
      <c r="U7" s="41" t="str">
        <f>IF(COLUMN() &lt;=  'Макет 017'!AK1,"(1):0:201:","")</f>
        <v>(1):0:201:</v>
      </c>
      <c r="V7" s="41" t="str">
        <f>IF(COLUMN() &lt;=  'Макет 017'!AK1,"(1):0:201:","")</f>
        <v>(1):0:201:</v>
      </c>
      <c r="W7" s="41" t="str">
        <f>IF(COLUMN() &lt;=  'Макет 017'!AK1,"(1):0:201:","")</f>
        <v>(1):0:201:</v>
      </c>
      <c r="X7" s="41" t="str">
        <f>IF(COLUMN() &lt;=  'Макет 017'!AK1,"(1):0:201:","")</f>
        <v>(1):0:201:</v>
      </c>
      <c r="Y7" s="41" t="str">
        <f>IF(COLUMN() &lt;=  'Макет 017'!AK1,"(1):0:201:","")</f>
        <v>(1):0:201:</v>
      </c>
      <c r="Z7" s="41" t="str">
        <f>IF(COLUMN() &lt;=  'Макет 017'!AK1,"(1):0:201:","")</f>
        <v>(1):0:201:</v>
      </c>
      <c r="AA7" s="41" t="str">
        <f>IF(COLUMN() &lt;=  'Макет 017'!AK1,"(1):0:201:","")</f>
        <v>(1):0:201:</v>
      </c>
      <c r="AB7" s="41" t="str">
        <f>IF(COLUMN() &lt;=  'Макет 017'!AK1,"(1):0:201:","")</f>
        <v>(1):0:201:</v>
      </c>
      <c r="AC7" s="41" t="str">
        <f>IF(COLUMN() &lt;=  'Макет 017'!AK1,"(1):0:201:","")</f>
        <v>(1):0:201:</v>
      </c>
      <c r="AD7" s="41" t="str">
        <f>IF(COLUMN() &lt;=  'Макет 017'!AK1,"(1):0:201:","")</f>
        <v>(1):0:201:</v>
      </c>
      <c r="AE7" s="41" t="str">
        <f>IF(COLUMN() &lt;=  'Макет 017'!AK1,"(1):0:201:","")</f>
        <v/>
      </c>
      <c r="AG7" s="36">
        <v>28.079418886198599</v>
      </c>
      <c r="AH7" s="36">
        <v>101.81</v>
      </c>
      <c r="AJ7" s="37">
        <v>567</v>
      </c>
    </row>
    <row r="8" spans="1:39" x14ac:dyDescent="0.25">
      <c r="A8" s="42">
        <f>Ведомость!B25</f>
        <v>27.277013084778599</v>
      </c>
      <c r="B8" s="42">
        <f>Ведомость!C25</f>
        <v>26.566372187587199</v>
      </c>
      <c r="C8" s="42">
        <f>Ведомость!D25</f>
        <v>26.307166384943802</v>
      </c>
      <c r="D8" s="42">
        <f>Ведомость!E25</f>
        <v>28.774513838371799</v>
      </c>
      <c r="E8" s="42">
        <f>Ведомость!F25</f>
        <v>28.8060207522742</v>
      </c>
      <c r="F8" s="42">
        <f>Ведомость!G25</f>
        <v>29.174146595825899</v>
      </c>
      <c r="G8" s="42">
        <f>Ведомость!H25</f>
        <v>29.592998428869802</v>
      </c>
      <c r="H8" s="42">
        <f>Ведомость!I25</f>
        <v>29.4939054660708</v>
      </c>
      <c r="I8" s="42">
        <f>Ведомость!J25</f>
        <v>29.153987564664401</v>
      </c>
      <c r="J8" s="42">
        <f>Ведомость!K25</f>
        <v>28.7251898486569</v>
      </c>
      <c r="K8" s="42">
        <f>Ведомость!L25</f>
        <v>29.3829250874915</v>
      </c>
      <c r="L8" s="42">
        <f>Ведомость!M25</f>
        <v>28.595259264379099</v>
      </c>
      <c r="M8" s="42">
        <f>Ведомость!N25</f>
        <v>29.386051504770901</v>
      </c>
      <c r="N8" s="42">
        <f>Ведомость!O25</f>
        <v>29.675411475398601</v>
      </c>
      <c r="O8" s="42">
        <f>Ведомость!P25</f>
        <v>29.087291723187899</v>
      </c>
      <c r="P8" s="42">
        <f>Ведомость!Q25</f>
        <v>30.539076123801198</v>
      </c>
      <c r="Q8" s="42">
        <f>Ведомость!R25</f>
        <v>29.8851722947615</v>
      </c>
      <c r="R8" s="42">
        <f>Ведомость!S25</f>
        <v>26.139693118722398</v>
      </c>
      <c r="S8" s="42">
        <f>Ведомость!T25</f>
        <v>25.743558188109599</v>
      </c>
      <c r="T8" s="42">
        <f>Ведомость!U25</f>
        <v>25.730731303113</v>
      </c>
      <c r="U8" s="42">
        <f>Ведомость!V25</f>
        <v>24.7254513671109</v>
      </c>
      <c r="V8" s="42">
        <f>Ведомость!W25</f>
        <v>29.049765304571601</v>
      </c>
      <c r="W8" s="42">
        <f>Ведомость!X25</f>
        <v>30.298797491652699</v>
      </c>
      <c r="X8" s="42">
        <f>Ведомость!Y25</f>
        <v>29.462519466504698</v>
      </c>
      <c r="Y8" s="42">
        <f>Ведомость!Z25</f>
        <v>29.057757678440801</v>
      </c>
      <c r="Z8" s="42">
        <f>Ведомость!AA25</f>
        <v>28.510031193903099</v>
      </c>
      <c r="AA8" s="42">
        <f>Ведомость!AB25</f>
        <v>28.605037166382498</v>
      </c>
      <c r="AB8" s="42">
        <f>IF(COLUMN() &lt;=  'Макет 017'!AK1,Ведомость!AC25,"")</f>
        <v>28.4591952765158</v>
      </c>
      <c r="AC8" s="42">
        <f>IF(COLUMN() &lt;=  'Макет 017'!AK1,Ведомость!AD25,"")</f>
        <v>29.183161724786501</v>
      </c>
      <c r="AD8" s="42">
        <f>IF(COLUMN() &lt;=  'Макет 017'!AK1,Ведомость!AE25,"")</f>
        <v>29.571255580970899</v>
      </c>
      <c r="AE8" s="42" t="str">
        <f>IF(COLUMN() &lt;=  'Макет 017'!AK1,Ведомость!AF25,"")</f>
        <v/>
      </c>
      <c r="AG8" s="36">
        <v>28.422572880449302</v>
      </c>
      <c r="AH8" s="36">
        <v>101.72</v>
      </c>
      <c r="AJ8" s="37">
        <v>500</v>
      </c>
    </row>
    <row r="9" spans="1:39" x14ac:dyDescent="0.25">
      <c r="A9" s="41" t="str">
        <f>IF(COLUMN() &lt;=  'Макет 017'!AK1,":(2):0:202:","")</f>
        <v>:(2):0:202:</v>
      </c>
      <c r="B9" s="41" t="str">
        <f>IF(COLUMN() &lt;=  'Макет 017'!AK1,":(2):0:202:","")</f>
        <v>:(2):0:202:</v>
      </c>
      <c r="C9" s="41" t="str">
        <f>IF(COLUMN() &lt;=  'Макет 017'!AK1,":(2):0:202:","")</f>
        <v>:(2):0:202:</v>
      </c>
      <c r="D9" s="41" t="str">
        <f>IF(COLUMN() &lt;=  'Макет 017'!AK1,":(2):0:202:","")</f>
        <v>:(2):0:202:</v>
      </c>
      <c r="E9" s="41" t="str">
        <f>IF(COLUMN() &lt;=  'Макет 017'!AK1,":(2):0:202:","")</f>
        <v>:(2):0:202:</v>
      </c>
      <c r="F9" s="41" t="str">
        <f>IF(COLUMN() &lt;=  'Макет 017'!AK1,":(2):0:202:","")</f>
        <v>:(2):0:202:</v>
      </c>
      <c r="G9" s="41" t="str">
        <f>IF(COLUMN() &lt;=  'Макет 017'!AK1,":(2):0:202:","")</f>
        <v>:(2):0:202:</v>
      </c>
      <c r="H9" s="41" t="str">
        <f>IF(COLUMN() &lt;=  'Макет 017'!AK1,":(2):0:202:","")</f>
        <v>:(2):0:202:</v>
      </c>
      <c r="I9" s="41" t="str">
        <f>IF(COLUMN() &lt;=  'Макет 017'!AK1,":(2):0:202:","")</f>
        <v>:(2):0:202:</v>
      </c>
      <c r="J9" s="41" t="str">
        <f>IF(COLUMN() &lt;=  'Макет 017'!AK1,":(2):0:202:","")</f>
        <v>:(2):0:202:</v>
      </c>
      <c r="K9" s="41" t="str">
        <f>IF(COLUMN() &lt;=  'Макет 017'!AK1,":(2):0:202:","")</f>
        <v>:(2):0:202:</v>
      </c>
      <c r="L9" s="41" t="str">
        <f>IF(COLUMN() &lt;=  'Макет 017'!AK1,":(2):0:202:","")</f>
        <v>:(2):0:202:</v>
      </c>
      <c r="M9" s="41" t="str">
        <f>IF(COLUMN() &lt;=  'Макет 017'!AK1,":(2):0:202:","")</f>
        <v>:(2):0:202:</v>
      </c>
      <c r="N9" s="41" t="str">
        <f>IF(COLUMN() &lt;=  'Макет 017'!AK1,":(2):0:202:","")</f>
        <v>:(2):0:202:</v>
      </c>
      <c r="O9" s="41" t="str">
        <f>IF(COLUMN() &lt;=  'Макет 017'!AK1,":(2):0:202:","")</f>
        <v>:(2):0:202:</v>
      </c>
      <c r="P9" s="41" t="str">
        <f>IF(COLUMN() &lt;=  'Макет 017'!AK1,":(2):0:202:","")</f>
        <v>:(2):0:202:</v>
      </c>
      <c r="Q9" s="41" t="str">
        <f>IF(COLUMN() &lt;=  'Макет 017'!AK1,":(2):0:202:","")</f>
        <v>:(2):0:202:</v>
      </c>
      <c r="R9" s="41" t="str">
        <f>IF(COLUMN() &lt;=  'Макет 017'!AK1,":(2):0:202:","")</f>
        <v>:(2):0:202:</v>
      </c>
      <c r="S9" s="41" t="str">
        <f>IF(COLUMN() &lt;=  'Макет 017'!AK1,":(2):0:202:","")</f>
        <v>:(2):0:202:</v>
      </c>
      <c r="T9" s="41" t="str">
        <f>IF(COLUMN() &lt;=  'Макет 017'!AK1,":(2):0:202:","")</f>
        <v>:(2):0:202:</v>
      </c>
      <c r="U9" s="41" t="str">
        <f>IF(COLUMN() &lt;=  'Макет 017'!AK1,":(2):0:202:","")</f>
        <v>:(2):0:202:</v>
      </c>
      <c r="V9" s="41" t="str">
        <f>IF(COLUMN() &lt;=  'Макет 017'!AK1,":(2):0:202:","")</f>
        <v>:(2):0:202:</v>
      </c>
      <c r="W9" s="41" t="str">
        <f>IF(COLUMN() &lt;=  'Макет 017'!AK1,":(2):0:202:","")</f>
        <v>:(2):0:202:</v>
      </c>
      <c r="X9" s="41" t="str">
        <f>IF(COLUMN() &lt;=  'Макет 017'!AK1,":(2):0:202:","")</f>
        <v>:(2):0:202:</v>
      </c>
      <c r="Y9" s="41" t="str">
        <f>IF(COLUMN() &lt;=  'Макет 017'!AK1,":(2):0:202:","")</f>
        <v>:(2):0:202:</v>
      </c>
      <c r="Z9" s="41" t="str">
        <f>IF(COLUMN() &lt;=  'Макет 017'!AK1,":(2):0:202:","")</f>
        <v>:(2):0:202:</v>
      </c>
      <c r="AA9" s="41" t="str">
        <f>IF(COLUMN() &lt;=  'Макет 017'!AK1,":(2):0:202:","")</f>
        <v>:(2):0:202:</v>
      </c>
      <c r="AB9" s="41" t="str">
        <f>IF(COLUMN() &lt;=  'Макет 017'!AK1,":(2):0:202:","")</f>
        <v>:(2):0:202:</v>
      </c>
      <c r="AC9" s="41" t="str">
        <f>IF(COLUMN() &lt;=  'Макет 017'!AK1,":(2):0:202:","")</f>
        <v>:(2):0:202:</v>
      </c>
      <c r="AD9" s="41" t="str">
        <f>IF(COLUMN() &lt;=  'Макет 017'!AK1,":(2):0:202:","")</f>
        <v>:(2):0:202:</v>
      </c>
      <c r="AE9" s="41" t="str">
        <f>IF(COLUMN() &lt;=  'Макет 017'!AK1,":(2):0:202:","")</f>
        <v/>
      </c>
      <c r="AG9" s="36">
        <v>28.458712631295501</v>
      </c>
      <c r="AH9" s="36">
        <v>101.63</v>
      </c>
      <c r="AJ9" s="37">
        <v>434</v>
      </c>
    </row>
    <row r="10" spans="1:39" x14ac:dyDescent="0.25">
      <c r="A10" s="42">
        <f ca="1">IFERROR(IF(CELL("содержимое",AG2),AG1,0),"")</f>
        <v>27.155567090578799</v>
      </c>
      <c r="B10" s="42">
        <f>AG2</f>
        <v>27.5082188229194</v>
      </c>
      <c r="C10" s="42">
        <f>AG3</f>
        <v>27.5774314884471</v>
      </c>
      <c r="D10" s="42">
        <f>AG4</f>
        <v>27.529981177736001</v>
      </c>
      <c r="E10" s="42">
        <f>AG5</f>
        <v>27.607100591716002</v>
      </c>
      <c r="F10" s="42">
        <f>AG6</f>
        <v>27.785533745630499</v>
      </c>
      <c r="G10" s="42">
        <f>AG7</f>
        <v>28.079418886198599</v>
      </c>
      <c r="H10" s="42">
        <f>AG8</f>
        <v>28.422572880449302</v>
      </c>
      <c r="I10" s="42">
        <f>AG9</f>
        <v>28.458712631295501</v>
      </c>
      <c r="J10" s="42">
        <f>AG10</f>
        <v>29.5601593625498</v>
      </c>
      <c r="K10" s="42">
        <f>AG11</f>
        <v>29.142945896971302</v>
      </c>
      <c r="L10" s="42">
        <f>AG12</f>
        <v>29.322279792746102</v>
      </c>
      <c r="M10" s="42">
        <f>AG13</f>
        <v>30.1462068965517</v>
      </c>
      <c r="N10" s="42">
        <f>AG14</f>
        <v>29.451296194153301</v>
      </c>
      <c r="O10" s="42">
        <f>AG15</f>
        <v>29.308749654982101</v>
      </c>
      <c r="P10" s="42">
        <f>AG16</f>
        <v>29.508261950815101</v>
      </c>
      <c r="Q10" s="42">
        <f>AG17</f>
        <v>29.619480164158698</v>
      </c>
      <c r="R10" s="42">
        <f>AG18</f>
        <v>29.6276319425256</v>
      </c>
      <c r="S10" s="42">
        <f>AG19</f>
        <v>29.460513954130999</v>
      </c>
      <c r="T10" s="42">
        <f>AG20</f>
        <v>29.023132263419999</v>
      </c>
      <c r="U10" s="42">
        <f>AG21</f>
        <v>28.955297923968701</v>
      </c>
      <c r="V10" s="42">
        <f>AG22</f>
        <v>28.35072619688</v>
      </c>
      <c r="W10" s="42">
        <f>AG23</f>
        <v>28.241680129240699</v>
      </c>
      <c r="X10" s="42">
        <f>AG24</f>
        <v>27.708056872037901</v>
      </c>
      <c r="Y10" s="42">
        <f>AG25</f>
        <v>27.335096642929798</v>
      </c>
      <c r="Z10" s="42">
        <f>AG26</f>
        <v>29.885369463736801</v>
      </c>
      <c r="AA10" s="42">
        <f>AG27</f>
        <v>30.593715508503202</v>
      </c>
      <c r="AB10" s="42">
        <f ca="1">IF(COLUMN() &lt;=  'Макет 017'!AK1,CELL("содержимое",AG28),"")</f>
        <v>30.4578313253012</v>
      </c>
      <c r="AC10" s="42">
        <f ca="1">IF(COLUMN() &lt;=  'Макет 017'!AK1,CELL("содержимое",AG29),"")</f>
        <v>30.973041449049902</v>
      </c>
      <c r="AD10" s="42">
        <f ca="1">IF(COLUMN() &lt;=  'Макет 017'!AK1,CELL("содержимое",AG30),"")</f>
        <v>31.237820801440801</v>
      </c>
      <c r="AE10" s="42" t="str">
        <f ca="1">IF(COLUMN() &lt;=  'Макет 017'!AK1,CELL("содержимое",AG31),"")</f>
        <v/>
      </c>
      <c r="AG10" s="36">
        <v>29.5601593625498</v>
      </c>
      <c r="AH10" s="36">
        <v>101.55</v>
      </c>
      <c r="AJ10" s="37">
        <v>376</v>
      </c>
    </row>
    <row r="11" spans="1:39" x14ac:dyDescent="0.25">
      <c r="A11" s="41" t="str">
        <f>IF(COLUMN() &lt;=  'Макет 017'!AK1,":(3):1:203:","")</f>
        <v>:(3):1:203:</v>
      </c>
      <c r="B11" s="41" t="str">
        <f>IF(COLUMN() &lt;=  'Макет 017'!AK1,":(3):1:203:","")</f>
        <v>:(3):1:203:</v>
      </c>
      <c r="C11" s="41" t="str">
        <f>IF(COLUMN() &lt;=  'Макет 017'!AK1,":(3):1:203:","")</f>
        <v>:(3):1:203:</v>
      </c>
      <c r="D11" s="41" t="str">
        <f>IF(COLUMN() &lt;=  'Макет 017'!AK1,":(3):1:203:","")</f>
        <v>:(3):1:203:</v>
      </c>
      <c r="E11" s="41" t="str">
        <f>IF(COLUMN() &lt;=  'Макет 017'!AK1,":(3):1:203:","")</f>
        <v>:(3):1:203:</v>
      </c>
      <c r="F11" s="41" t="str">
        <f>IF(COLUMN() &lt;=  'Макет 017'!AK1,":(3):1:203:","")</f>
        <v>:(3):1:203:</v>
      </c>
      <c r="G11" s="41" t="str">
        <f>IF(COLUMN() &lt;=  'Макет 017'!AK1,":(3):1:203:","")</f>
        <v>:(3):1:203:</v>
      </c>
      <c r="H11" s="41" t="str">
        <f>IF(COLUMN() &lt;=  'Макет 017'!AK1,":(3):1:203:","")</f>
        <v>:(3):1:203:</v>
      </c>
      <c r="I11" s="41" t="str">
        <f>IF(COLUMN() &lt;=  'Макет 017'!AK1,":(3):1:203:","")</f>
        <v>:(3):1:203:</v>
      </c>
      <c r="J11" s="41" t="str">
        <f>IF(COLUMN() &lt;=  'Макет 017'!AK1,":(3):1:203:","")</f>
        <v>:(3):1:203:</v>
      </c>
      <c r="K11" s="41" t="str">
        <f>IF(COLUMN() &lt;=  'Макет 017'!AK1,":(3):1:203:","")</f>
        <v>:(3):1:203:</v>
      </c>
      <c r="L11" s="41" t="str">
        <f>IF(COLUMN() &lt;=  'Макет 017'!AK1,":(3):1:203:","")</f>
        <v>:(3):1:203:</v>
      </c>
      <c r="M11" s="41" t="str">
        <f>IF(COLUMN() &lt;=  'Макет 017'!AK1,":(3):1:203:","")</f>
        <v>:(3):1:203:</v>
      </c>
      <c r="N11" s="41" t="str">
        <f>IF(COLUMN() &lt;=  'Макет 017'!AK1,":(3):1:203:","")</f>
        <v>:(3):1:203:</v>
      </c>
      <c r="O11" s="41" t="str">
        <f>IF(COLUMN() &lt;=  'Макет 017'!AK1,":(3):1:203:","")</f>
        <v>:(3):1:203:</v>
      </c>
      <c r="P11" s="41" t="str">
        <f>IF(COLUMN() &lt;=  'Макет 017'!AK1,":(3):1:203:","")</f>
        <v>:(3):1:203:</v>
      </c>
      <c r="Q11" s="41" t="str">
        <f>IF(COLUMN() &lt;=  'Макет 017'!AK1,":(3):1:203:","")</f>
        <v>:(3):1:203:</v>
      </c>
      <c r="R11" s="41" t="str">
        <f>IF(COLUMN() &lt;=  'Макет 017'!AK1,":(3):1:203:","")</f>
        <v>:(3):1:203:</v>
      </c>
      <c r="S11" s="41" t="str">
        <f>IF(COLUMN() &lt;=  'Макет 017'!AK1,":(3):1:203:","")</f>
        <v>:(3):1:203:</v>
      </c>
      <c r="T11" s="41" t="str">
        <f>IF(COLUMN() &lt;=  'Макет 017'!AK1,":(3):1:203:","")</f>
        <v>:(3):1:203:</v>
      </c>
      <c r="U11" s="41" t="str">
        <f>IF(COLUMN() &lt;=  'Макет 017'!AK1,":(3):1:203:","")</f>
        <v>:(3):1:203:</v>
      </c>
      <c r="V11" s="41" t="str">
        <f>IF(COLUMN() &lt;=  'Макет 017'!AK1,":(3):1:203:","")</f>
        <v>:(3):1:203:</v>
      </c>
      <c r="W11" s="41" t="str">
        <f>IF(COLUMN() &lt;=  'Макет 017'!AK1,":(3):1:203:","")</f>
        <v>:(3):1:203:</v>
      </c>
      <c r="X11" s="41" t="str">
        <f>IF(COLUMN() &lt;=  'Макет 017'!AK1,":(3):1:203:","")</f>
        <v>:(3):1:203:</v>
      </c>
      <c r="Y11" s="41" t="str">
        <f>IF(COLUMN() &lt;=  'Макет 017'!AK1,":(3):1:203:","")</f>
        <v>:(3):1:203:</v>
      </c>
      <c r="Z11" s="41" t="str">
        <f>IF(COLUMN() &lt;=  'Макет 017'!AK1,":(3):1:203:","")</f>
        <v>:(3):1:203:</v>
      </c>
      <c r="AA11" s="41" t="str">
        <f>IF(COLUMN() &lt;=  'Макет 017'!AK1,":(3):1:203:","")</f>
        <v>:(3):1:203:</v>
      </c>
      <c r="AB11" s="41" t="str">
        <f>IF(COLUMN() &lt;=  'Макет 017'!AK1,":(3):1:203:","")</f>
        <v>:(3):1:203:</v>
      </c>
      <c r="AC11" s="41" t="str">
        <f>IF(COLUMN() &lt;=  'Макет 017'!AK1,":(3):1:203:","")</f>
        <v>:(3):1:203:</v>
      </c>
      <c r="AD11" s="41" t="str">
        <f>IF(COLUMN() &lt;=  'Макет 017'!AK1,":(3):1:203:","")</f>
        <v>:(3):1:203:</v>
      </c>
      <c r="AE11" s="41" t="str">
        <f>IF(COLUMN() &lt;=  'Макет 017'!AK1,":(3):1:203:","")</f>
        <v/>
      </c>
      <c r="AG11" s="36">
        <v>29.142945896971302</v>
      </c>
      <c r="AH11" s="36">
        <v>101.44</v>
      </c>
      <c r="AJ11" s="37">
        <v>297</v>
      </c>
    </row>
    <row r="12" spans="1:39" x14ac:dyDescent="0.25">
      <c r="A12" s="42">
        <f>Ведомость!C3</f>
        <v>103.07444000244</v>
      </c>
      <c r="B12" s="42">
        <f>Ведомость!D3</f>
        <v>103.04840087891</v>
      </c>
      <c r="C12" s="42">
        <f>Ведомость!E3</f>
        <v>103.00499725342</v>
      </c>
      <c r="D12" s="42">
        <f>Ведомость!F3</f>
        <v>102.8574295044</v>
      </c>
      <c r="E12" s="42">
        <f>Ведомость!G3</f>
        <v>102.81402587891</v>
      </c>
      <c r="F12" s="42">
        <f>Ведомость!H3</f>
        <v>102.71853637695</v>
      </c>
      <c r="G12" s="42">
        <f>Ведомость!I3</f>
        <v>102.68815612793</v>
      </c>
      <c r="H12" s="42">
        <f>Ведомость!J3</f>
        <v>102.53624725342</v>
      </c>
      <c r="I12" s="42">
        <f>Ведомость!K3</f>
        <v>102.61003112793</v>
      </c>
      <c r="J12" s="42">
        <f>Ведомость!L3</f>
        <v>102.61871337891</v>
      </c>
      <c r="K12" s="42">
        <f>Ведомость!M3</f>
        <v>102.80968475342</v>
      </c>
      <c r="L12" s="42">
        <f>Ведомость!N3</f>
        <v>102.87044525147</v>
      </c>
      <c r="M12" s="42">
        <f>Ведомость!O3</f>
        <v>103.08746337891</v>
      </c>
      <c r="N12" s="42">
        <f>Ведомость!P3</f>
        <v>103.30447387695</v>
      </c>
      <c r="O12" s="42">
        <f>Ведомость!Q3</f>
        <v>103.65169525147</v>
      </c>
      <c r="P12" s="42">
        <f>Ведомость!R3</f>
        <v>104.08572387695</v>
      </c>
      <c r="Q12" s="42">
        <f>Ведомость!S3</f>
        <v>104.55447387695</v>
      </c>
      <c r="R12" s="42">
        <f>Ведомость!T3</f>
        <v>105.05833435059</v>
      </c>
      <c r="S12" s="42">
        <f>Ведомость!U3</f>
        <v>105.57746887207</v>
      </c>
      <c r="T12" s="42">
        <f>Ведомость!V3</f>
        <v>106.0631942749</v>
      </c>
      <c r="U12" s="42">
        <f>Ведомость!W3</f>
        <v>106.37097167969</v>
      </c>
      <c r="V12" s="42">
        <f>Ведомость!X3</f>
        <v>106.71517944336</v>
      </c>
      <c r="W12" s="42">
        <f>Ведомость!Y3</f>
        <v>107.02333831787</v>
      </c>
      <c r="X12" s="42">
        <f>Ведомость!Z3</f>
        <v>107.32281494141</v>
      </c>
      <c r="Y12" s="42">
        <f>Ведомость!AA3</f>
        <v>107.60493469238</v>
      </c>
      <c r="Z12" s="42">
        <f>Ведомость!AB3</f>
        <v>107.8349685669</v>
      </c>
      <c r="AA12" s="42">
        <f>Ведомость!AC3</f>
        <v>108.00857543945</v>
      </c>
      <c r="AB12" s="42">
        <f ca="1">IF(COLUMN() &lt;=  'Макет 017'!AK1,IF(Ведомость!AD2="", CELL("содержимое", 'Макет 017'!AM1),Ведомость!AD3),"")</f>
        <v>108.13010406494</v>
      </c>
      <c r="AC12" s="42">
        <f ca="1">IF(COLUMN() &lt;=  'Макет 017'!AK1,IF(Ведомость!AE2="", CELL("содержимое", 'Макет 017'!AM1),Ведомость!AE3),"")</f>
        <v>108.20388793945</v>
      </c>
      <c r="AD12" s="42">
        <f ca="1">IF(COLUMN() &lt;=  'Макет 017'!AK1,IF(Ведомость!AF2="", CELL("содержимое", 'Макет 017'!AM1),Ведомость!AF3),"")</f>
        <v>108.25163269043</v>
      </c>
      <c r="AE12" s="42" t="str">
        <f>IF(COLUMN() &lt;=  'Макет 017'!AK1,Ведомость!AG3,"")</f>
        <v/>
      </c>
      <c r="AG12" s="36">
        <v>29.322279792746102</v>
      </c>
      <c r="AH12" s="36">
        <v>101.36</v>
      </c>
      <c r="AJ12" s="37">
        <v>241</v>
      </c>
    </row>
    <row r="13" spans="1:39" x14ac:dyDescent="0.25">
      <c r="A13" s="41" t="str">
        <f>IF(COLUMN() &lt;=  'Макет 017'!AK1,":(4):1:204:","")</f>
        <v>:(4):1:204:</v>
      </c>
      <c r="B13" s="41" t="str">
        <f>IF(COLUMN() &lt;=  'Макет 017'!AK1,":(4):1:204:","")</f>
        <v>:(4):1:204:</v>
      </c>
      <c r="C13" s="41" t="str">
        <f>IF(COLUMN() &lt;=  'Макет 017'!AK1,":(4):1:204:","")</f>
        <v>:(4):1:204:</v>
      </c>
      <c r="D13" s="41" t="str">
        <f>IF(COLUMN() &lt;=  'Макет 017'!AK1,":(4):1:204:","")</f>
        <v>:(4):1:204:</v>
      </c>
      <c r="E13" s="41" t="str">
        <f>IF(COLUMN() &lt;=  'Макет 017'!AK1,":(4):1:204:","")</f>
        <v>:(4):1:204:</v>
      </c>
      <c r="F13" s="41" t="str">
        <f>IF(COLUMN() &lt;=  'Макет 017'!AK1,":(4):1:204:","")</f>
        <v>:(4):1:204:</v>
      </c>
      <c r="G13" s="41" t="str">
        <f>IF(COLUMN() &lt;=  'Макет 017'!AK1,":(4):1:204:","")</f>
        <v>:(4):1:204:</v>
      </c>
      <c r="H13" s="41" t="str">
        <f>IF(COLUMN() &lt;=  'Макет 017'!AK1,":(4):1:204:","")</f>
        <v>:(4):1:204:</v>
      </c>
      <c r="I13" s="41" t="str">
        <f>IF(COLUMN() &lt;=  'Макет 017'!AK1,":(4):1:204:","")</f>
        <v>:(4):1:204:</v>
      </c>
      <c r="J13" s="41" t="str">
        <f>IF(COLUMN() &lt;=  'Макет 017'!AK1,":(4):1:204:","")</f>
        <v>:(4):1:204:</v>
      </c>
      <c r="K13" s="41" t="str">
        <f>IF(COLUMN() &lt;=  'Макет 017'!AK1,":(4):1:204:","")</f>
        <v>:(4):1:204:</v>
      </c>
      <c r="L13" s="41" t="str">
        <f>IF(COLUMN() &lt;=  'Макет 017'!AK1,":(4):1:204:","")</f>
        <v>:(4):1:204:</v>
      </c>
      <c r="M13" s="41" t="str">
        <f>IF(COLUMN() &lt;=  'Макет 017'!AK1,":(4):1:204:","")</f>
        <v>:(4):1:204:</v>
      </c>
      <c r="N13" s="41" t="str">
        <f>IF(COLUMN() &lt;=  'Макет 017'!AK1,":(4):1:204:","")</f>
        <v>:(4):1:204:</v>
      </c>
      <c r="O13" s="41" t="str">
        <f>IF(COLUMN() &lt;=  'Макет 017'!AK1,":(4):1:204:","")</f>
        <v>:(4):1:204:</v>
      </c>
      <c r="P13" s="41" t="str">
        <f>IF(COLUMN() &lt;=  'Макет 017'!AK1,":(4):1:204:","")</f>
        <v>:(4):1:204:</v>
      </c>
      <c r="Q13" s="41" t="str">
        <f>IF(COLUMN() &lt;=  'Макет 017'!AK1,":(4):1:204:","")</f>
        <v>:(4):1:204:</v>
      </c>
      <c r="R13" s="41" t="str">
        <f>IF(COLUMN() &lt;=  'Макет 017'!AK1,":(4):1:204:","")</f>
        <v>:(4):1:204:</v>
      </c>
      <c r="S13" s="41" t="str">
        <f>IF(COLUMN() &lt;=  'Макет 017'!AK1,":(4):1:204:","")</f>
        <v>:(4):1:204:</v>
      </c>
      <c r="T13" s="41" t="str">
        <f>IF(COLUMN() &lt;=  'Макет 017'!AK1,":(4):1:204:","")</f>
        <v>:(4):1:204:</v>
      </c>
      <c r="U13" s="41" t="str">
        <f>IF(COLUMN() &lt;=  'Макет 017'!AK1,":(4):1:204:","")</f>
        <v>:(4):1:204:</v>
      </c>
      <c r="V13" s="41" t="str">
        <f>IF(COLUMN() &lt;=  'Макет 017'!AK1,":(4):1:204:","")</f>
        <v>:(4):1:204:</v>
      </c>
      <c r="W13" s="41" t="str">
        <f>IF(COLUMN() &lt;=  'Макет 017'!AK1,":(4):1:204:","")</f>
        <v>:(4):1:204:</v>
      </c>
      <c r="X13" s="41" t="str">
        <f>IF(COLUMN() &lt;=  'Макет 017'!AK1,":(4):1:204:","")</f>
        <v>:(4):1:204:</v>
      </c>
      <c r="Y13" s="41" t="str">
        <f>IF(COLUMN() &lt;=  'Макет 017'!AK1,":(4):1:204:","")</f>
        <v>:(4):1:204:</v>
      </c>
      <c r="Z13" s="41" t="str">
        <f>IF(COLUMN() &lt;=  'Макет 017'!AK1,":(4):1:204:","")</f>
        <v>:(4):1:204:</v>
      </c>
      <c r="AA13" s="41" t="str">
        <f>IF(COLUMN() &lt;=  'Макет 017'!AK1,":(4):1:204:","")</f>
        <v>:(4):1:204:</v>
      </c>
      <c r="AB13" s="41" t="str">
        <f>IF(COLUMN() &lt;=  'Макет 017'!AK1,":(4):1:204:","")</f>
        <v>:(4):1:204:</v>
      </c>
      <c r="AC13" s="41" t="str">
        <f>IF(COLUMN() &lt;=  'Макет 017'!AK1,":(4):1:204:","")</f>
        <v>:(4):1:204:</v>
      </c>
      <c r="AD13" s="41" t="str">
        <f>IF(COLUMN() &lt;=  'Макет 017'!AK1,":(4):1:204:","")</f>
        <v>:(4):1:204:</v>
      </c>
      <c r="AE13" s="41" t="str">
        <f>IF(COLUMN() &lt;=  'Макет 017'!AK1,":(4):1:204:","")</f>
        <v/>
      </c>
      <c r="AG13" s="36">
        <v>30.1462068965517</v>
      </c>
      <c r="AH13" s="36">
        <v>101.29</v>
      </c>
      <c r="AJ13" s="37">
        <v>192</v>
      </c>
    </row>
    <row r="14" spans="1:39" x14ac:dyDescent="0.25">
      <c r="A14" s="42">
        <f>AH2</f>
        <v>102.25</v>
      </c>
      <c r="B14" s="42">
        <f>AH3</f>
        <v>102.16</v>
      </c>
      <c r="C14" s="42">
        <f>AH4</f>
        <v>102.07</v>
      </c>
      <c r="D14" s="42">
        <f>AH5</f>
        <v>101.98</v>
      </c>
      <c r="E14" s="42">
        <f>AH6</f>
        <v>101.9</v>
      </c>
      <c r="F14" s="42">
        <f>AH7</f>
        <v>101.81</v>
      </c>
      <c r="G14" s="42">
        <f>AH8</f>
        <v>101.72</v>
      </c>
      <c r="H14" s="42">
        <f>AH9</f>
        <v>101.63</v>
      </c>
      <c r="I14" s="42">
        <f>AH10</f>
        <v>101.55</v>
      </c>
      <c r="J14" s="42">
        <f>AH11</f>
        <v>101.44</v>
      </c>
      <c r="K14" s="42">
        <f>AH12</f>
        <v>101.36</v>
      </c>
      <c r="L14" s="42">
        <f>AH13</f>
        <v>101.29</v>
      </c>
      <c r="M14" s="42">
        <f>AH14</f>
        <v>101.22</v>
      </c>
      <c r="N14" s="42">
        <f>AH15</f>
        <v>101.19</v>
      </c>
      <c r="O14" s="42">
        <f>AH16</f>
        <v>101.17</v>
      </c>
      <c r="P14" s="42">
        <f>AH17</f>
        <v>101.17</v>
      </c>
      <c r="Q14" s="42">
        <f>AH18</f>
        <v>101.21</v>
      </c>
      <c r="R14" s="42">
        <f>AH19</f>
        <v>101.3</v>
      </c>
      <c r="S14" s="42">
        <f>AH20</f>
        <v>101.42</v>
      </c>
      <c r="T14" s="42">
        <f>AH21</f>
        <v>101.55</v>
      </c>
      <c r="U14" s="42">
        <f>AH22</f>
        <v>101.78</v>
      </c>
      <c r="V14" s="42">
        <f>AH23</f>
        <v>102.04</v>
      </c>
      <c r="W14" s="42">
        <f>AH24</f>
        <v>102.29</v>
      </c>
      <c r="X14" s="42">
        <f>AH25</f>
        <v>102.6</v>
      </c>
      <c r="Y14" s="42">
        <f>AH26</f>
        <v>102.76</v>
      </c>
      <c r="Z14" s="42">
        <f>AH27</f>
        <v>102.83</v>
      </c>
      <c r="AA14" s="42">
        <f>AH28</f>
        <v>102.88</v>
      </c>
      <c r="AB14" s="42">
        <f ca="1">IF(COLUMN() &lt;=  'Макет 017'!AK1,IF(Ведомость!AD2="", CELL("содержимое",AI1),AH29),"")</f>
        <v>102.94</v>
      </c>
      <c r="AC14" s="42">
        <f ca="1">IF(COLUMN() &lt;=  'Макет 017'!AK1,IF(Ведомость!AE2="", CELL("содержимое",AI1),AH30),"")</f>
        <v>103.07</v>
      </c>
      <c r="AD14" s="42">
        <f ca="1">IF(COLUMN() &lt;=  'Макет 017'!AK1,IF(Ведомость!AF2="", CELL("содержимое",AI1),AH31),"")</f>
        <v>103.26</v>
      </c>
      <c r="AE14" s="42" t="str">
        <f ca="1">IF(COLUMN() &lt;=  'Макет 017'!AK1,IF(Ведомость!AG2="", CELL("содержимое",AI1),AI1),"")</f>
        <v/>
      </c>
      <c r="AG14" s="36">
        <v>29.451296194153301</v>
      </c>
      <c r="AH14" s="36">
        <v>101.22</v>
      </c>
      <c r="AJ14" s="37">
        <v>144</v>
      </c>
    </row>
    <row r="15" spans="1:39" x14ac:dyDescent="0.25">
      <c r="A15" s="41" t="str">
        <f>IF(COLUMN() &lt;=  'Макет 017'!AK1,":(5):0:205:","")</f>
        <v>:(5):0:205:</v>
      </c>
      <c r="B15" s="41" t="str">
        <f>IF(COLUMN() &lt;=  'Макет 017'!AK1,":(5):0:205:","")</f>
        <v>:(5):0:205:</v>
      </c>
      <c r="C15" s="41" t="str">
        <f>IF(COLUMN() &lt;=  'Макет 017'!AK1,":(5):0:205:","")</f>
        <v>:(5):0:205:</v>
      </c>
      <c r="D15" s="41" t="str">
        <f>IF(COLUMN() &lt;=  'Макет 017'!AK1,":(5):0:205:","")</f>
        <v>:(5):0:205:</v>
      </c>
      <c r="E15" s="41" t="str">
        <f>IF(COLUMN() &lt;=  'Макет 017'!AK1,":(5):0:205:","")</f>
        <v>:(5):0:205:</v>
      </c>
      <c r="F15" s="41" t="str">
        <f>IF(COLUMN() &lt;=  'Макет 017'!AK1,":(5):0:205:","")</f>
        <v>:(5):0:205:</v>
      </c>
      <c r="G15" s="41" t="str">
        <f>IF(COLUMN() &lt;=  'Макет 017'!AK1,":(5):0:205:","")</f>
        <v>:(5):0:205:</v>
      </c>
      <c r="H15" s="41" t="str">
        <f>IF(COLUMN() &lt;=  'Макет 017'!AK1,":(5):0:205:","")</f>
        <v>:(5):0:205:</v>
      </c>
      <c r="I15" s="41" t="str">
        <f>IF(COLUMN() &lt;=  'Макет 017'!AK1,":(5):0:205:","")</f>
        <v>:(5):0:205:</v>
      </c>
      <c r="J15" s="41" t="str">
        <f>IF(COLUMN() &lt;=  'Макет 017'!AK1,":(5):0:205:","")</f>
        <v>:(5):0:205:</v>
      </c>
      <c r="K15" s="41" t="str">
        <f>IF(COLUMN() &lt;=  'Макет 017'!AK1,":(5):0:205:","")</f>
        <v>:(5):0:205:</v>
      </c>
      <c r="L15" s="41" t="str">
        <f>IF(COLUMN() &lt;=  'Макет 017'!AK1,":(5):0:205:","")</f>
        <v>:(5):0:205:</v>
      </c>
      <c r="M15" s="41" t="str">
        <f>IF(COLUMN() &lt;=  'Макет 017'!AK1,":(5):0:205:","")</f>
        <v>:(5):0:205:</v>
      </c>
      <c r="N15" s="41" t="str">
        <f>IF(COLUMN() &lt;=  'Макет 017'!AK1,":(5):0:205:","")</f>
        <v>:(5):0:205:</v>
      </c>
      <c r="O15" s="41" t="str">
        <f>IF(COLUMN() &lt;=  'Макет 017'!AK1,":(5):0:205:","")</f>
        <v>:(5):0:205:</v>
      </c>
      <c r="P15" s="41" t="str">
        <f>IF(COLUMN() &lt;=  'Макет 017'!AK1,":(5):0:205:","")</f>
        <v>:(5):0:205:</v>
      </c>
      <c r="Q15" s="41" t="str">
        <f>IF(COLUMN() &lt;=  'Макет 017'!AK1,":(5):0:205:","")</f>
        <v>:(5):0:205:</v>
      </c>
      <c r="R15" s="41" t="str">
        <f>IF(COLUMN() &lt;=  'Макет 017'!AK1,":(5):0:205:","")</f>
        <v>:(5):0:205:</v>
      </c>
      <c r="S15" s="41" t="str">
        <f>IF(COLUMN() &lt;=  'Макет 017'!AK1,":(5):0:205:","")</f>
        <v>:(5):0:205:</v>
      </c>
      <c r="T15" s="41" t="str">
        <f>IF(COLUMN() &lt;=  'Макет 017'!AK1,":(5):0:205:","")</f>
        <v>:(5):0:205:</v>
      </c>
      <c r="U15" s="41" t="str">
        <f>IF(COLUMN() &lt;=  'Макет 017'!AK1,":(5):0:205:","")</f>
        <v>:(5):0:205:</v>
      </c>
      <c r="V15" s="41" t="str">
        <f>IF(COLUMN() &lt;=  'Макет 017'!AK1,":(5):0:205:","")</f>
        <v>:(5):0:205:</v>
      </c>
      <c r="W15" s="41" t="str">
        <f>IF(COLUMN() &lt;=  'Макет 017'!AK1,":(5):0:205:","")</f>
        <v>:(5):0:205:</v>
      </c>
      <c r="X15" s="41" t="str">
        <f>IF(COLUMN() &lt;=  'Макет 017'!AK1,":(5):0:205:","")</f>
        <v>:(5):0:205:</v>
      </c>
      <c r="Y15" s="41" t="str">
        <f>IF(COLUMN() &lt;=  'Макет 017'!AK1,":(5):0:205:","")</f>
        <v>:(5):0:205:</v>
      </c>
      <c r="Z15" s="41" t="str">
        <f>IF(COLUMN() &lt;=  'Макет 017'!AK1,":(5):0:205:","")</f>
        <v>:(5):0:205:</v>
      </c>
      <c r="AA15" s="41" t="str">
        <f>IF(COLUMN() &lt;=  'Макет 017'!AK1,":(5):0:205:","")</f>
        <v>:(5):0:205:</v>
      </c>
      <c r="AB15" s="41" t="str">
        <f>IF(COLUMN() &lt;=  'Макет 017'!AK1,":(5):0:205:","")</f>
        <v>:(5):0:205:</v>
      </c>
      <c r="AC15" s="41" t="str">
        <f>IF(COLUMN() &lt;=  'Макет 017'!AK1,":(5):0:205:","")</f>
        <v>:(5):0:205:</v>
      </c>
      <c r="AD15" s="41" t="str">
        <f>IF(COLUMN() &lt;=  'Макет 017'!AK1,":(5):0:205:","")</f>
        <v>:(5):0:205:</v>
      </c>
      <c r="AE15" s="41" t="str">
        <f>IF(COLUMN() &lt;=  'Макет 017'!AK1,":(5):0:205:","")</f>
        <v/>
      </c>
      <c r="AG15" s="36">
        <v>29.308749654982101</v>
      </c>
      <c r="AH15" s="36">
        <v>101.19</v>
      </c>
      <c r="AJ15" s="37">
        <v>124</v>
      </c>
    </row>
    <row r="16" spans="1:39" x14ac:dyDescent="0.25">
      <c r="A16" s="44">
        <f>Ведомость!C28</f>
        <v>1628</v>
      </c>
      <c r="B16" s="44">
        <f>Ведомость!D28</f>
        <v>1609</v>
      </c>
      <c r="C16" s="44">
        <f>Ведомость!E28</f>
        <v>1562</v>
      </c>
      <c r="D16" s="44">
        <f>Ведомость!F28</f>
        <v>1436</v>
      </c>
      <c r="E16" s="44">
        <f>Ведомость!G28</f>
        <v>1391</v>
      </c>
      <c r="F16" s="44">
        <f>Ведомость!H28</f>
        <v>1312</v>
      </c>
      <c r="G16" s="44">
        <f>Ведомость!I28</f>
        <v>1285</v>
      </c>
      <c r="H16" s="44">
        <f>Ведомость!J28</f>
        <v>1155</v>
      </c>
      <c r="I16" s="44">
        <f>Ведомость!K28</f>
        <v>1216</v>
      </c>
      <c r="J16" s="44">
        <f>Ведомость!L28</f>
        <v>1224</v>
      </c>
      <c r="K16" s="44">
        <f>Ведомость!M28</f>
        <v>1391</v>
      </c>
      <c r="L16" s="44">
        <f>Ведомость!N28</f>
        <v>1445</v>
      </c>
      <c r="M16" s="44">
        <f>Ведомость!O28</f>
        <v>1647</v>
      </c>
      <c r="N16" s="44">
        <f>Ведомость!P28</f>
        <v>1752</v>
      </c>
      <c r="O16" s="44">
        <f>Ведомость!Q28</f>
        <v>2203</v>
      </c>
      <c r="P16" s="44">
        <f>Ведомость!R28</f>
        <v>2674</v>
      </c>
      <c r="Q16" s="44">
        <f>Ведомость!S28</f>
        <v>3198</v>
      </c>
      <c r="R16" s="44">
        <f>Ведомость!T28</f>
        <v>3820</v>
      </c>
      <c r="S16" s="44">
        <f>Ведомость!U28</f>
        <v>4499</v>
      </c>
      <c r="T16" s="44">
        <f>Ведомость!V28</f>
        <v>5165</v>
      </c>
      <c r="U16" s="44">
        <f>Ведомость!W28</f>
        <v>5615</v>
      </c>
      <c r="V16" s="44">
        <f>Ведомость!X28</f>
        <v>6147</v>
      </c>
      <c r="W16" s="44">
        <f>Ведомость!Y28</f>
        <v>6621</v>
      </c>
      <c r="X16" s="44">
        <f>Ведомость!Z28</f>
        <v>7115</v>
      </c>
      <c r="Y16" s="44">
        <f>Ведомость!AA28</f>
        <v>7418</v>
      </c>
      <c r="Z16" s="44">
        <f>Ведомость!AB28</f>
        <v>7993</v>
      </c>
      <c r="AA16" s="44">
        <f>Ведомость!AC28</f>
        <v>8316</v>
      </c>
      <c r="AB16" s="44">
        <f ca="1">IF(COLUMN() &lt;=  'Макет 017'!AK1,IF(Ведомость!AD2="", CELL("содержимое",AM1),Ведомость!AD28),"")</f>
        <v>8537</v>
      </c>
      <c r="AC16" s="44">
        <f ca="1">IF(COLUMN() &lt;=  'Макет 017'!AK1,IF(Ведомость!AE2="", CELL("содержимое",AM1),Ведомость!AE28),"")</f>
        <v>8667</v>
      </c>
      <c r="AD16" s="44">
        <f ca="1">IF(COLUMN() &lt;=  'Макет 017'!AK1,IF(Ведомость!AF2="", CELL("содержимое",AM1),Ведомость!AF28),"")</f>
        <v>8760</v>
      </c>
      <c r="AE16" s="44" t="str">
        <f ca="1">IF(COLUMN() &lt;=  'Макет 017'!AK1,IF(Ведомость!AG2="", CELL("содержимое",AM1),Ведомость!AG28),"")</f>
        <v/>
      </c>
      <c r="AG16" s="36">
        <v>29.508261950815101</v>
      </c>
      <c r="AH16" s="36">
        <v>101.17</v>
      </c>
      <c r="AJ16" s="37">
        <v>111</v>
      </c>
    </row>
    <row r="17" spans="1:36" x14ac:dyDescent="0.25">
      <c r="A17" s="41" t="str">
        <f>IF(COLUMN() &lt;=  'Макет 017'!AK1,":(6):0:206:","")</f>
        <v>:(6):0:206:</v>
      </c>
      <c r="B17" s="41" t="str">
        <f>IF(COLUMN() &lt;=  'Макет 017'!AK1,":(6):0:206:","")</f>
        <v>:(6):0:206:</v>
      </c>
      <c r="C17" s="41" t="str">
        <f>IF(COLUMN() &lt;=  'Макет 017'!AK1,":(6):0:206:","")</f>
        <v>:(6):0:206:</v>
      </c>
      <c r="D17" s="41" t="str">
        <f>IF(COLUMN() &lt;=  'Макет 017'!AK1,":(6):0:206:","")</f>
        <v>:(6):0:206:</v>
      </c>
      <c r="E17" s="41" t="str">
        <f>IF(COLUMN() &lt;=  'Макет 017'!AK1,":(6):0:206:","")</f>
        <v>:(6):0:206:</v>
      </c>
      <c r="F17" s="41" t="str">
        <f>IF(COLUMN() &lt;=  'Макет 017'!AK1,":(6):0:206:","")</f>
        <v>:(6):0:206:</v>
      </c>
      <c r="G17" s="41" t="str">
        <f>IF(COLUMN() &lt;=  'Макет 017'!AK1,":(6):0:206:","")</f>
        <v>:(6):0:206:</v>
      </c>
      <c r="H17" s="41" t="str">
        <f>IF(COLUMN() &lt;=  'Макет 017'!AK1,":(6):0:206:","")</f>
        <v>:(6):0:206:</v>
      </c>
      <c r="I17" s="41" t="str">
        <f>IF(COLUMN() &lt;=  'Макет 017'!AK1,":(6):0:206:","")</f>
        <v>:(6):0:206:</v>
      </c>
      <c r="J17" s="41" t="str">
        <f>IF(COLUMN() &lt;=  'Макет 017'!AK1,":(6):0:206:","")</f>
        <v>:(6):0:206:</v>
      </c>
      <c r="K17" s="41" t="str">
        <f>IF(COLUMN() &lt;=  'Макет 017'!AK1,":(6):0:206:","")</f>
        <v>:(6):0:206:</v>
      </c>
      <c r="L17" s="41" t="str">
        <f>IF(COLUMN() &lt;=  'Макет 017'!AK1,":(6):0:206:","")</f>
        <v>:(6):0:206:</v>
      </c>
      <c r="M17" s="41" t="str">
        <f>IF(COLUMN() &lt;=  'Макет 017'!AK1,":(6):0:206:","")</f>
        <v>:(6):0:206:</v>
      </c>
      <c r="N17" s="41" t="str">
        <f>IF(COLUMN() &lt;=  'Макет 017'!AK1,":(6):0:206:","")</f>
        <v>:(6):0:206:</v>
      </c>
      <c r="O17" s="41" t="str">
        <f>IF(COLUMN() &lt;=  'Макет 017'!AK1,":(6):0:206:","")</f>
        <v>:(6):0:206:</v>
      </c>
      <c r="P17" s="41" t="str">
        <f>IF(COLUMN() &lt;=  'Макет 017'!AK1,":(6):0:206:","")</f>
        <v>:(6):0:206:</v>
      </c>
      <c r="Q17" s="41" t="str">
        <f>IF(COLUMN() &lt;=  'Макет 017'!AK1,":(6):0:206:","")</f>
        <v>:(6):0:206:</v>
      </c>
      <c r="R17" s="41" t="str">
        <f>IF(COLUMN() &lt;=  'Макет 017'!AK1,":(6):0:206:","")</f>
        <v>:(6):0:206:</v>
      </c>
      <c r="S17" s="41" t="str">
        <f>IF(COLUMN() &lt;=  'Макет 017'!AK1,":(6):0:206:","")</f>
        <v>:(6):0:206:</v>
      </c>
      <c r="T17" s="41" t="str">
        <f>IF(COLUMN() &lt;=  'Макет 017'!AK1,":(6):0:206:","")</f>
        <v>:(6):0:206:</v>
      </c>
      <c r="U17" s="41" t="str">
        <f>IF(COLUMN() &lt;=  'Макет 017'!AK1,":(6):0:206:","")</f>
        <v>:(6):0:206:</v>
      </c>
      <c r="V17" s="41" t="str">
        <f>IF(COLUMN() &lt;=  'Макет 017'!AK1,":(6):0:206:","")</f>
        <v>:(6):0:206:</v>
      </c>
      <c r="W17" s="41" t="str">
        <f>IF(COLUMN() &lt;=  'Макет 017'!AK1,":(6):0:206:","")</f>
        <v>:(6):0:206:</v>
      </c>
      <c r="X17" s="41" t="str">
        <f>IF(COLUMN() &lt;=  'Макет 017'!AK1,":(6):0:206:","")</f>
        <v>:(6):0:206:</v>
      </c>
      <c r="Y17" s="41" t="str">
        <f>IF(COLUMN() &lt;=  'Макет 017'!AK1,":(6):0:206:","")</f>
        <v>:(6):0:206:</v>
      </c>
      <c r="Z17" s="41" t="str">
        <f>IF(COLUMN() &lt;=  'Макет 017'!AK1,":(6):0:206:","")</f>
        <v>:(6):0:206:</v>
      </c>
      <c r="AA17" s="41" t="str">
        <f>IF(COLUMN() &lt;=  'Макет 017'!AK1,":(6):0:206:","")</f>
        <v>:(6):0:206:</v>
      </c>
      <c r="AB17" s="41" t="str">
        <f>IF(COLUMN() &lt;=  'Макет 017'!AK1,":(6):0:206:","")</f>
        <v>:(6):0:206:</v>
      </c>
      <c r="AC17" s="41" t="str">
        <f>IF(COLUMN() &lt;=  'Макет 017'!AK1,":(6):0:206:","")</f>
        <v>:(6):0:206:</v>
      </c>
      <c r="AD17" s="41" t="str">
        <f>IF(COLUMN() &lt;=  'Макет 017'!AK1,":(6):0:206:","")</f>
        <v>:(6):0:206:</v>
      </c>
      <c r="AE17" s="41" t="str">
        <f>IF(COLUMN() &lt;=  'Макет 017'!AK1,":(6):0:206:","")</f>
        <v/>
      </c>
      <c r="AG17" s="36">
        <v>29.619480164158698</v>
      </c>
      <c r="AH17" s="36">
        <v>101.17</v>
      </c>
      <c r="AJ17" s="37">
        <v>111</v>
      </c>
    </row>
    <row r="18" spans="1:36" x14ac:dyDescent="0.25">
      <c r="A18" s="44">
        <f>AJ2</f>
        <v>914</v>
      </c>
      <c r="B18" s="44">
        <f>AJ3</f>
        <v>841</v>
      </c>
      <c r="C18" s="44">
        <f>AJ4</f>
        <v>769</v>
      </c>
      <c r="D18" s="44">
        <f>AJ5</f>
        <v>698</v>
      </c>
      <c r="E18" s="44">
        <f>AJ6</f>
        <v>636</v>
      </c>
      <c r="F18" s="44">
        <f>AJ7</f>
        <v>567</v>
      </c>
      <c r="G18" s="44">
        <f>AJ8</f>
        <v>500</v>
      </c>
      <c r="H18" s="44">
        <f>AJ9</f>
        <v>434</v>
      </c>
      <c r="I18" s="44">
        <f>AJ10</f>
        <v>376</v>
      </c>
      <c r="J18" s="44">
        <f>AJ11</f>
        <v>297</v>
      </c>
      <c r="K18" s="44">
        <f>AJ12</f>
        <v>241</v>
      </c>
      <c r="L18" s="44">
        <f>AJ13</f>
        <v>192</v>
      </c>
      <c r="M18" s="44">
        <f>AJ14</f>
        <v>144</v>
      </c>
      <c r="N18" s="44">
        <f>AJ15</f>
        <v>124</v>
      </c>
      <c r="O18" s="44">
        <f>AJ16</f>
        <v>111</v>
      </c>
      <c r="P18" s="44">
        <f>AJ17</f>
        <v>111</v>
      </c>
      <c r="Q18" s="44">
        <f>AJ18</f>
        <v>138</v>
      </c>
      <c r="R18" s="44">
        <f>AJ19</f>
        <v>131</v>
      </c>
      <c r="S18" s="44">
        <f>AJ20</f>
        <v>283</v>
      </c>
      <c r="T18" s="44">
        <f>AJ21</f>
        <v>376</v>
      </c>
      <c r="U18" s="44">
        <f>AJ22</f>
        <v>545</v>
      </c>
      <c r="V18" s="44">
        <f>AJ23</f>
        <v>745</v>
      </c>
      <c r="W18" s="44">
        <f>AJ24</f>
        <v>946</v>
      </c>
      <c r="X18" s="44">
        <f>AJ25</f>
        <v>1121</v>
      </c>
      <c r="Y18" s="44">
        <f>AJ26</f>
        <v>1347</v>
      </c>
      <c r="Z18" s="44">
        <f>AJ27</f>
        <v>1409</v>
      </c>
      <c r="AA18" s="44">
        <f>AJ28</f>
        <v>1454</v>
      </c>
      <c r="AB18" s="44">
        <f ca="1">IF(COLUMN() &lt;=  'Макет 017'!AK1,IF(Ведомость!AD2="", CELL("содержимое",AK1),AJ29),"")</f>
        <v>1508</v>
      </c>
      <c r="AC18" s="44">
        <f ca="1">IF(COLUMN() &lt;=  'Макет 017'!AK1,IF(Ведомость!AE2="", CELL("содержимое",AK1),AJ30),"")</f>
        <v>1628</v>
      </c>
      <c r="AD18" s="44">
        <f ca="1">IF(COLUMN() &lt;=  'Макет 017'!AK1,IF(Ведомость!AF2="", CELL("содержимое",AK1),AJ31),"")</f>
        <v>1811</v>
      </c>
      <c r="AE18" s="44" t="str">
        <f ca="1">IF(COLUMN() &lt;=  'Макет 017'!AK1,IF(Ведомость!AG2="", CELL("содержимое",AK1),AK1),"")</f>
        <v/>
      </c>
      <c r="AG18" s="36">
        <v>29.6276319425256</v>
      </c>
      <c r="AH18" s="36">
        <v>101.21</v>
      </c>
      <c r="AJ18" s="37">
        <v>138</v>
      </c>
    </row>
    <row r="19" spans="1:36" x14ac:dyDescent="0.25">
      <c r="A19" s="41" t="str">
        <f>IF(COLUMN() &lt;=  'Макет 017'!AK1,":==","")</f>
        <v>:==</v>
      </c>
      <c r="B19" s="41" t="str">
        <f>IF(COLUMN() &lt;=  'Макет 017'!AK1,":==","")</f>
        <v>:==</v>
      </c>
      <c r="C19" s="41" t="str">
        <f>IF(COLUMN() &lt;=  'Макет 017'!AK1,":==","")</f>
        <v>:==</v>
      </c>
      <c r="D19" s="41" t="str">
        <f>IF(COLUMN() &lt;=  'Макет 017'!AK1,":==","")</f>
        <v>:==</v>
      </c>
      <c r="E19" s="41" t="str">
        <f>IF(COLUMN() &lt;=  'Макет 017'!AK1,":==","")</f>
        <v>:==</v>
      </c>
      <c r="F19" s="41" t="str">
        <f>IF(COLUMN() &lt;=  'Макет 017'!AK1,":==","")</f>
        <v>:==</v>
      </c>
      <c r="G19" s="41" t="str">
        <f>IF(COLUMN() &lt;=  'Макет 017'!AK1,":==","")</f>
        <v>:==</v>
      </c>
      <c r="H19" s="41" t="str">
        <f>IF(COLUMN() &lt;=  'Макет 017'!AK1,":==","")</f>
        <v>:==</v>
      </c>
      <c r="I19" s="41" t="str">
        <f>IF(COLUMN() &lt;=  'Макет 017'!AK1,":==","")</f>
        <v>:==</v>
      </c>
      <c r="J19" s="41" t="str">
        <f>IF(COLUMN() &lt;=  'Макет 017'!AK1,":==","")</f>
        <v>:==</v>
      </c>
      <c r="K19" s="41" t="str">
        <f>IF(COLUMN() &lt;=  'Макет 017'!AK1,":==","")</f>
        <v>:==</v>
      </c>
      <c r="L19" s="41" t="str">
        <f>IF(COLUMN() &lt;=  'Макет 017'!AK1,":==","")</f>
        <v>:==</v>
      </c>
      <c r="M19" s="41" t="str">
        <f>IF(COLUMN() &lt;=  'Макет 017'!AK1,":==","")</f>
        <v>:==</v>
      </c>
      <c r="N19" s="41" t="str">
        <f>IF(COLUMN() &lt;=  'Макет 017'!AK1,":==","")</f>
        <v>:==</v>
      </c>
      <c r="O19" s="41" t="str">
        <f>IF(COLUMN() &lt;=  'Макет 017'!AK1,":==","")</f>
        <v>:==</v>
      </c>
      <c r="P19" s="41" t="str">
        <f>IF(COLUMN() &lt;=  'Макет 017'!AK1,":==","")</f>
        <v>:==</v>
      </c>
      <c r="Q19" s="41" t="str">
        <f>IF(COLUMN() &lt;=  'Макет 017'!AK1,":==","")</f>
        <v>:==</v>
      </c>
      <c r="R19" s="41" t="str">
        <f>IF(COLUMN() &lt;=  'Макет 017'!AK1,":==","")</f>
        <v>:==</v>
      </c>
      <c r="S19" s="41" t="str">
        <f>IF(COLUMN() &lt;=  'Макет 017'!AK1,":==","")</f>
        <v>:==</v>
      </c>
      <c r="T19" s="41" t="str">
        <f>IF(COLUMN() &lt;=  'Макет 017'!AK1,":==","")</f>
        <v>:==</v>
      </c>
      <c r="U19" s="41" t="str">
        <f>IF(COLUMN() &lt;=  'Макет 017'!AK1,":==","")</f>
        <v>:==</v>
      </c>
      <c r="V19" s="41" t="str">
        <f>IF(COLUMN() &lt;=  'Макет 017'!AK1,":==","")</f>
        <v>:==</v>
      </c>
      <c r="W19" s="41" t="str">
        <f>IF(COLUMN() &lt;=  'Макет 017'!AK1,":==","")</f>
        <v>:==</v>
      </c>
      <c r="X19" s="41" t="str">
        <f>IF(COLUMN() &lt;=  'Макет 017'!AK1,":==","")</f>
        <v>:==</v>
      </c>
      <c r="Y19" s="41" t="str">
        <f>IF(COLUMN() &lt;=  'Макет 017'!AK1,":==","")</f>
        <v>:==</v>
      </c>
      <c r="Z19" s="41" t="str">
        <f>IF(COLUMN() &lt;=  'Макет 017'!AK1,":==","")</f>
        <v>:==</v>
      </c>
      <c r="AA19" s="41" t="str">
        <f>IF(COLUMN() &lt;=  'Макет 017'!AK1,":==","")</f>
        <v>:==</v>
      </c>
      <c r="AB19" s="41" t="str">
        <f>IF(COLUMN() &lt;=  'Макет 017'!AK1,":==","")</f>
        <v>:==</v>
      </c>
      <c r="AC19" s="41" t="str">
        <f>IF(COLUMN() &lt;=  'Макет 017'!AK1,":==","")</f>
        <v>:==</v>
      </c>
      <c r="AD19" s="41" t="str">
        <f>IF(COLUMN() &lt;=  'Макет 017'!AK1,":==","")</f>
        <v>:==</v>
      </c>
      <c r="AE19" s="41" t="str">
        <f>IF(COLUMN() &lt;=  'Макет 017'!AK1,":==","")</f>
        <v/>
      </c>
      <c r="AG19" s="36">
        <v>29.460513954130999</v>
      </c>
      <c r="AH19" s="36">
        <v>101.3</v>
      </c>
      <c r="AJ19" s="37">
        <v>131</v>
      </c>
    </row>
    <row r="20" spans="1:36" x14ac:dyDescent="0.25">
      <c r="AG20" s="36">
        <v>29.023132263419999</v>
      </c>
      <c r="AH20" s="36">
        <v>101.42</v>
      </c>
      <c r="AJ20" s="37">
        <v>283</v>
      </c>
    </row>
    <row r="21" spans="1:36" x14ac:dyDescent="0.25">
      <c r="AG21" s="36">
        <v>28.955297923968701</v>
      </c>
      <c r="AH21" s="36">
        <v>101.55</v>
      </c>
      <c r="AJ21" s="37">
        <v>376</v>
      </c>
    </row>
    <row r="22" spans="1:36" x14ac:dyDescent="0.25">
      <c r="AG22" s="36">
        <v>28.35072619688</v>
      </c>
      <c r="AH22" s="36">
        <v>101.78</v>
      </c>
      <c r="AJ22" s="37">
        <v>545</v>
      </c>
    </row>
    <row r="23" spans="1:36" x14ac:dyDescent="0.25">
      <c r="AG23" s="36">
        <v>28.241680129240699</v>
      </c>
      <c r="AH23" s="36">
        <v>102.04</v>
      </c>
      <c r="AJ23" s="37">
        <v>745</v>
      </c>
    </row>
    <row r="24" spans="1:36" x14ac:dyDescent="0.25">
      <c r="AG24" s="36">
        <v>27.708056872037901</v>
      </c>
      <c r="AH24" s="36">
        <v>102.29</v>
      </c>
      <c r="AJ24" s="37">
        <v>946</v>
      </c>
    </row>
    <row r="25" spans="1:36" x14ac:dyDescent="0.25">
      <c r="AG25" s="36">
        <v>27.335096642929798</v>
      </c>
      <c r="AH25" s="36">
        <v>102.6</v>
      </c>
      <c r="AJ25" s="37">
        <v>1121</v>
      </c>
    </row>
    <row r="26" spans="1:36" x14ac:dyDescent="0.25">
      <c r="AG26" s="36">
        <v>29.885369463736801</v>
      </c>
      <c r="AH26" s="36">
        <v>102.76</v>
      </c>
      <c r="AJ26" s="37">
        <v>1347</v>
      </c>
    </row>
    <row r="27" spans="1:36" x14ac:dyDescent="0.25">
      <c r="AG27" s="36">
        <v>30.593715508503202</v>
      </c>
      <c r="AH27" s="36">
        <v>102.83</v>
      </c>
      <c r="AJ27" s="37">
        <v>1409</v>
      </c>
    </row>
    <row r="28" spans="1:36" x14ac:dyDescent="0.25">
      <c r="AG28" s="36">
        <v>30.4578313253012</v>
      </c>
      <c r="AH28" s="36">
        <v>102.88</v>
      </c>
      <c r="AJ28" s="37">
        <v>1454</v>
      </c>
    </row>
    <row r="29" spans="1:36" x14ac:dyDescent="0.25">
      <c r="AG29" s="36">
        <v>30.973041449049902</v>
      </c>
      <c r="AH29" s="36">
        <v>102.94</v>
      </c>
      <c r="AJ29" s="37">
        <v>1508</v>
      </c>
    </row>
    <row r="30" spans="1:36" x14ac:dyDescent="0.25">
      <c r="AG30" s="36">
        <v>31.237820801440801</v>
      </c>
      <c r="AH30" s="36">
        <v>103.07</v>
      </c>
      <c r="AJ30" s="37">
        <v>1628</v>
      </c>
    </row>
    <row r="31" spans="1:36" x14ac:dyDescent="0.25">
      <c r="AG31" s="37" t="s">
        <v>13</v>
      </c>
      <c r="AH31" s="37" t="s">
        <v>13</v>
      </c>
      <c r="AJ31" s="37" t="s">
        <v>13</v>
      </c>
    </row>
    <row r="32" spans="1:36" x14ac:dyDescent="0.25">
      <c r="AG32" s="37" t="s">
        <v>13</v>
      </c>
      <c r="AH32" s="37" t="s">
        <v>13</v>
      </c>
      <c r="AJ32" s="37" t="s">
        <v>13</v>
      </c>
    </row>
    <row r="33" spans="33:36" x14ac:dyDescent="0.25">
      <c r="AG33" s="37" t="s">
        <v>13</v>
      </c>
      <c r="AH33" s="37" t="s">
        <v>13</v>
      </c>
      <c r="AJ33" s="37" t="s">
        <v>13</v>
      </c>
    </row>
    <row r="34" spans="33:36" x14ac:dyDescent="0.25">
      <c r="AG34" s="37" t="s">
        <v>13</v>
      </c>
      <c r="AH34" s="37" t="s">
        <v>13</v>
      </c>
      <c r="AJ34" s="37" t="s">
        <v>13</v>
      </c>
    </row>
    <row r="35" spans="33:36" x14ac:dyDescent="0.25">
      <c r="AG35" s="37" t="s">
        <v>13</v>
      </c>
      <c r="AH35" s="37" t="s">
        <v>13</v>
      </c>
      <c r="AJ35" s="37" t="s">
        <v>13</v>
      </c>
    </row>
  </sheetData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Ведомость</vt:lpstr>
      <vt:lpstr>Макет 017</vt:lpstr>
      <vt:lpstr>Сводка</vt:lpstr>
      <vt:lpstr>М12320</vt:lpstr>
      <vt:lpstr>М30018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 Юрий Юрьевич</dc:creator>
  <cp:lastModifiedBy>Валиулина Регина Равилевна</cp:lastModifiedBy>
  <dcterms:created xsi:type="dcterms:W3CDTF">2015-01-13T10:53:45Z</dcterms:created>
  <dcterms:modified xsi:type="dcterms:W3CDTF">2016-11-17T10:10:11Z</dcterms:modified>
</cp:coreProperties>
</file>